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MARKETING\COMMUNICATIONS\Tiffany Gogowich\CIMS\2025 BayerValue programming development\2025 BV West\2025 BayerValue West excel calculator development\"/>
    </mc:Choice>
  </mc:AlternateContent>
  <xr:revisionPtr revIDLastSave="0" documentId="8_{A9416E9D-5DE7-4818-AE1C-FD5959C50EAA}" xr6:coauthVersionLast="47" xr6:coauthVersionMax="47" xr10:uidLastSave="{00000000-0000-0000-0000-000000000000}"/>
  <workbookProtection workbookAlgorithmName="SHA-512" workbookHashValue="7bgQhHpB6N6L10M6lleHPIx1s4TWG3hnZkawx7Dtxgin6DgmSZz+SOLe0QxjJSUsibVH5R36PmVRbHPvHHOrhA==" workbookSaltValue="NxmPgLnzqHHZz0xhFs4Vcg==" workbookSpinCount="100000" lockStructure="1"/>
  <bookViews>
    <workbookView xWindow="-22740" yWindow="372" windowWidth="21636" windowHeight="11316" tabRatio="813" activeTab="1" xr2:uid="{00000000-000D-0000-FFFF-FFFF00000000}"/>
  </bookViews>
  <sheets>
    <sheet name="Disclaimer" sheetId="8" r:id="rId1"/>
    <sheet name="Purchases" sheetId="1" r:id="rId2"/>
    <sheet name="Rebate_Summary" sheetId="5" r:id="rId3"/>
    <sheet name="Product Acreage Chart" sheetId="9" r:id="rId4"/>
    <sheet name="Program Details-BV West" sheetId="10" r:id="rId5"/>
    <sheet name="BV West- with Hot Potatoes" sheetId="11" r:id="rId6"/>
    <sheet name="RebateSummary" sheetId="2" state="hidden" r:id="rId7"/>
    <sheet name="Pkge" sheetId="7" state="hidden" r:id="rId8"/>
  </sheets>
  <definedNames>
    <definedName name="_xlnm._FilterDatabase" localSheetId="1" hidden="1">Purchases!#REF!</definedName>
    <definedName name="_xlnm.Print_Area" localSheetId="2">Rebate_Summary!$A$1:$R$81</definedName>
    <definedName name="_xlnm.Print_Area" localSheetId="6">RebateSummary!$A$1:$T$57</definedName>
    <definedName name="_xlnm.Print_Titles" localSheetId="2">Rebate_Summary!$8:$10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5" l="1"/>
  <c r="J15" i="1"/>
  <c r="J14" i="1"/>
  <c r="F17" i="1"/>
  <c r="F16" i="1"/>
  <c r="F14" i="1"/>
  <c r="M14" i="1" l="1"/>
  <c r="M15" i="1" s="1"/>
  <c r="G108" i="7"/>
  <c r="G109" i="7"/>
  <c r="I14" i="1"/>
  <c r="J44" i="1"/>
  <c r="F69" i="1"/>
  <c r="H107" i="7"/>
  <c r="G107" i="7" s="1"/>
  <c r="H31" i="1" s="1"/>
  <c r="F31" i="1"/>
  <c r="O107" i="7"/>
  <c r="I107" i="7" l="1"/>
  <c r="I31" i="1" s="1"/>
  <c r="J107" i="7"/>
  <c r="J40" i="1"/>
  <c r="J41" i="1"/>
  <c r="B75" i="5" s="1"/>
  <c r="J42" i="1"/>
  <c r="J36" i="1"/>
  <c r="B73" i="5" s="1"/>
  <c r="J35" i="1"/>
  <c r="J48" i="1"/>
  <c r="B57" i="5"/>
  <c r="B17" i="1"/>
  <c r="F55" i="5"/>
  <c r="O108" i="7"/>
  <c r="O109" i="7"/>
  <c r="Q108" i="7"/>
  <c r="R108" i="7"/>
  <c r="S108" i="7"/>
  <c r="T108" i="7"/>
  <c r="U108" i="7"/>
  <c r="V108" i="7"/>
  <c r="Y108" i="7"/>
  <c r="Z108" i="7"/>
  <c r="AA108" i="7"/>
  <c r="AC108" i="7"/>
  <c r="Q109" i="7"/>
  <c r="R109" i="7"/>
  <c r="S109" i="7"/>
  <c r="T109" i="7"/>
  <c r="U109" i="7"/>
  <c r="V109" i="7"/>
  <c r="Y109" i="7"/>
  <c r="Z109" i="7"/>
  <c r="AA109" i="7"/>
  <c r="AC109" i="7"/>
  <c r="C109" i="7"/>
  <c r="C108" i="7"/>
  <c r="F7" i="2"/>
  <c r="F8" i="5" s="1"/>
  <c r="H87" i="7"/>
  <c r="H88" i="7"/>
  <c r="H86" i="7"/>
  <c r="F70" i="1"/>
  <c r="J57" i="5"/>
  <c r="I109" i="7" l="1"/>
  <c r="J109" i="7"/>
  <c r="J60" i="5"/>
  <c r="D59" i="5"/>
  <c r="D58" i="5"/>
  <c r="N39" i="1"/>
  <c r="N37" i="1"/>
  <c r="G29" i="2" l="1"/>
  <c r="B29" i="5" s="1"/>
  <c r="G27" i="2"/>
  <c r="B27" i="5" s="1"/>
  <c r="J38" i="1"/>
  <c r="B74" i="5" s="1"/>
  <c r="C54" i="2"/>
  <c r="C53" i="2"/>
  <c r="C29" i="5" s="1"/>
  <c r="D73" i="1"/>
  <c r="I75" i="5" s="1"/>
  <c r="H105" i="7"/>
  <c r="G105" i="7" s="1"/>
  <c r="H106" i="7"/>
  <c r="I106" i="7" s="1"/>
  <c r="H104" i="7"/>
  <c r="J104" i="7" s="1"/>
  <c r="B53" i="1"/>
  <c r="B54" i="1"/>
  <c r="B52" i="1"/>
  <c r="B37" i="1"/>
  <c r="B38" i="1"/>
  <c r="B36" i="1"/>
  <c r="H102" i="7"/>
  <c r="G102" i="7" s="1"/>
  <c r="H103" i="7"/>
  <c r="G103" i="7" s="1"/>
  <c r="D38" i="1" s="1"/>
  <c r="H101" i="7"/>
  <c r="O101" i="7"/>
  <c r="O102" i="7"/>
  <c r="O103" i="7"/>
  <c r="O104" i="7"/>
  <c r="O105" i="7"/>
  <c r="O106" i="7"/>
  <c r="D53" i="1" l="1"/>
  <c r="D37" i="1"/>
  <c r="G101" i="7"/>
  <c r="D36" i="1" s="1"/>
  <c r="J105" i="7"/>
  <c r="I105" i="7"/>
  <c r="G106" i="7"/>
  <c r="J106" i="7"/>
  <c r="I104" i="7"/>
  <c r="G104" i="7"/>
  <c r="J103" i="7"/>
  <c r="J102" i="7"/>
  <c r="I102" i="7"/>
  <c r="I103" i="7"/>
  <c r="E38" i="1" s="1"/>
  <c r="J101" i="7"/>
  <c r="I101" i="7"/>
  <c r="N107" i="7" l="1"/>
  <c r="E54" i="2" s="1"/>
  <c r="M107" i="7"/>
  <c r="F54" i="2" s="1"/>
  <c r="D52" i="1"/>
  <c r="L107" i="7"/>
  <c r="D54" i="2" s="1"/>
  <c r="D54" i="1"/>
  <c r="L103" i="7"/>
  <c r="D53" i="2" s="1"/>
  <c r="D29" i="5" s="1"/>
  <c r="N103" i="7"/>
  <c r="E53" i="2" s="1"/>
  <c r="E29" i="5" s="1"/>
  <c r="E36" i="1"/>
  <c r="M103" i="7"/>
  <c r="F53" i="2" s="1"/>
  <c r="F29" i="5" s="1"/>
  <c r="E37" i="1"/>
  <c r="I7" i="5"/>
  <c r="H7" i="5"/>
  <c r="H97" i="7"/>
  <c r="AC72" i="7"/>
  <c r="F26" i="1" s="1"/>
  <c r="AD72" i="7"/>
  <c r="F27" i="1" s="1"/>
  <c r="AC99" i="7"/>
  <c r="F51" i="1" s="1"/>
  <c r="AC84" i="7"/>
  <c r="F52" i="1" s="1"/>
  <c r="AC83" i="7"/>
  <c r="F50" i="1" s="1"/>
  <c r="AC82" i="7"/>
  <c r="F49" i="1" s="1"/>
  <c r="AC81" i="7"/>
  <c r="F48" i="1" s="1"/>
  <c r="AC53" i="7"/>
  <c r="F35" i="1" s="1"/>
  <c r="AC52" i="7"/>
  <c r="F34" i="1" s="1"/>
  <c r="AC51" i="7"/>
  <c r="F33" i="1" s="1"/>
  <c r="AC50" i="7"/>
  <c r="F32" i="1" s="1"/>
  <c r="H100" i="7"/>
  <c r="B60" i="1"/>
  <c r="H99" i="7"/>
  <c r="H98" i="7"/>
  <c r="F45" i="1"/>
  <c r="C68" i="2" l="1"/>
  <c r="G59" i="5" s="1"/>
  <c r="O100" i="7"/>
  <c r="G100" i="7"/>
  <c r="O99" i="7"/>
  <c r="J99" i="7"/>
  <c r="O98" i="7"/>
  <c r="J98" i="7"/>
  <c r="I98" i="7"/>
  <c r="G98" i="7"/>
  <c r="M8" i="5"/>
  <c r="I64" i="5"/>
  <c r="B21" i="5"/>
  <c r="B22" i="5"/>
  <c r="B20" i="5"/>
  <c r="K64" i="2"/>
  <c r="D72" i="1"/>
  <c r="I63" i="5" s="1"/>
  <c r="B66" i="5" s="1"/>
  <c r="G56" i="2"/>
  <c r="B54" i="5" s="1"/>
  <c r="G44" i="2"/>
  <c r="B43" i="5" s="1"/>
  <c r="G38" i="2"/>
  <c r="B38" i="5" s="1"/>
  <c r="G12" i="2"/>
  <c r="B13" i="5" s="1"/>
  <c r="C49" i="2"/>
  <c r="C43" i="5" s="1"/>
  <c r="C50" i="2"/>
  <c r="C13" i="5" s="1"/>
  <c r="C51" i="2"/>
  <c r="C38" i="5" s="1"/>
  <c r="C52" i="2"/>
  <c r="C54" i="5" s="1"/>
  <c r="I97" i="7"/>
  <c r="F63" i="1"/>
  <c r="O97" i="7"/>
  <c r="F44" i="1"/>
  <c r="H96" i="7"/>
  <c r="G96" i="7" s="1"/>
  <c r="O96" i="7"/>
  <c r="H94" i="7"/>
  <c r="G94" i="7" s="1"/>
  <c r="B59" i="1"/>
  <c r="O94" i="7"/>
  <c r="H95" i="7"/>
  <c r="B21" i="1"/>
  <c r="B23" i="1"/>
  <c r="O95" i="7"/>
  <c r="E163" i="7"/>
  <c r="C163" i="7"/>
  <c r="A163" i="7"/>
  <c r="O163" i="7" s="1"/>
  <c r="E162" i="7"/>
  <c r="C162" i="7"/>
  <c r="J162" i="7" s="1"/>
  <c r="N162" i="7" s="1"/>
  <c r="A162" i="7"/>
  <c r="O162" i="7" s="1"/>
  <c r="E161" i="7"/>
  <c r="C161" i="7"/>
  <c r="J161" i="7" s="1"/>
  <c r="N161" i="7" s="1"/>
  <c r="A161" i="7"/>
  <c r="O161" i="7" s="1"/>
  <c r="E160" i="7"/>
  <c r="C160" i="7"/>
  <c r="G160" i="7" s="1"/>
  <c r="L160" i="7" s="1"/>
  <c r="A160" i="7"/>
  <c r="O160" i="7" s="1"/>
  <c r="E159" i="7"/>
  <c r="C159" i="7"/>
  <c r="J159" i="7" s="1"/>
  <c r="N159" i="7" s="1"/>
  <c r="A159" i="7"/>
  <c r="O159" i="7" s="1"/>
  <c r="H158" i="7"/>
  <c r="E158" i="7"/>
  <c r="C158" i="7"/>
  <c r="A158" i="7"/>
  <c r="O158" i="7" s="1"/>
  <c r="H157" i="7"/>
  <c r="E157" i="7"/>
  <c r="C157" i="7"/>
  <c r="A157" i="7"/>
  <c r="O157" i="7" s="1"/>
  <c r="H156" i="7"/>
  <c r="E156" i="7"/>
  <c r="C156" i="7"/>
  <c r="A156" i="7"/>
  <c r="O156" i="7" s="1"/>
  <c r="H155" i="7"/>
  <c r="E155" i="7"/>
  <c r="C155" i="7"/>
  <c r="A155" i="7"/>
  <c r="O155" i="7" s="1"/>
  <c r="H154" i="7"/>
  <c r="E154" i="7"/>
  <c r="C154" i="7"/>
  <c r="A154" i="7"/>
  <c r="O154" i="7" s="1"/>
  <c r="H153" i="7"/>
  <c r="E153" i="7"/>
  <c r="C153" i="7"/>
  <c r="A153" i="7"/>
  <c r="O153" i="7" s="1"/>
  <c r="H152" i="7"/>
  <c r="E152" i="7"/>
  <c r="C152" i="7"/>
  <c r="A152" i="7"/>
  <c r="O152" i="7" s="1"/>
  <c r="H151" i="7"/>
  <c r="E151" i="7"/>
  <c r="C151" i="7"/>
  <c r="A151" i="7"/>
  <c r="O151" i="7" s="1"/>
  <c r="H150" i="7"/>
  <c r="E150" i="7"/>
  <c r="C150" i="7"/>
  <c r="A150" i="7"/>
  <c r="O150" i="7" s="1"/>
  <c r="H149" i="7"/>
  <c r="E149" i="7"/>
  <c r="C149" i="7"/>
  <c r="A149" i="7"/>
  <c r="O149" i="7" s="1"/>
  <c r="H148" i="7"/>
  <c r="E148" i="7"/>
  <c r="C148" i="7"/>
  <c r="A148" i="7"/>
  <c r="O148" i="7" s="1"/>
  <c r="H147" i="7"/>
  <c r="E147" i="7"/>
  <c r="C147" i="7"/>
  <c r="A147" i="7"/>
  <c r="O147" i="7" s="1"/>
  <c r="H146" i="7"/>
  <c r="E146" i="7"/>
  <c r="C146" i="7"/>
  <c r="A146" i="7"/>
  <c r="O146" i="7" s="1"/>
  <c r="H145" i="7"/>
  <c r="E145" i="7"/>
  <c r="C145" i="7"/>
  <c r="A145" i="7"/>
  <c r="O145" i="7" s="1"/>
  <c r="H144" i="7"/>
  <c r="E144" i="7"/>
  <c r="C144" i="7"/>
  <c r="G144" i="7" s="1"/>
  <c r="A144" i="7"/>
  <c r="O144" i="7" s="1"/>
  <c r="B126" i="7"/>
  <c r="B124" i="7"/>
  <c r="B123" i="7"/>
  <c r="B122" i="7"/>
  <c r="C138" i="7"/>
  <c r="O93" i="7"/>
  <c r="H93" i="7"/>
  <c r="G93" i="7" s="1"/>
  <c r="D63" i="1" s="1"/>
  <c r="O92" i="7"/>
  <c r="H92" i="7"/>
  <c r="J92" i="7" s="1"/>
  <c r="O91" i="7"/>
  <c r="H91" i="7"/>
  <c r="O90" i="7"/>
  <c r="H90" i="7"/>
  <c r="J90" i="7" s="1"/>
  <c r="B90" i="7"/>
  <c r="B35" i="1" s="1"/>
  <c r="H89" i="7"/>
  <c r="G89" i="7" s="1"/>
  <c r="D34" i="1" s="1"/>
  <c r="B89" i="7"/>
  <c r="B34" i="1" s="1"/>
  <c r="O88" i="7"/>
  <c r="J88" i="7"/>
  <c r="N88" i="7" s="1"/>
  <c r="I88" i="7"/>
  <c r="M88" i="7" s="1"/>
  <c r="G88" i="7"/>
  <c r="O87" i="7"/>
  <c r="J87" i="7"/>
  <c r="N87" i="7" s="1"/>
  <c r="I87" i="7"/>
  <c r="G87" i="7"/>
  <c r="O86" i="7"/>
  <c r="J86" i="7"/>
  <c r="N86" i="7" s="1"/>
  <c r="I86" i="7"/>
  <c r="G86" i="7"/>
  <c r="O85" i="7"/>
  <c r="H85" i="7"/>
  <c r="J85" i="7" s="1"/>
  <c r="N85" i="7" s="1"/>
  <c r="E47" i="2" s="1"/>
  <c r="E25" i="5" s="1"/>
  <c r="O84" i="7"/>
  <c r="H84" i="7"/>
  <c r="G84" i="7" s="1"/>
  <c r="H52" i="1" s="1"/>
  <c r="H83" i="7"/>
  <c r="I83" i="7" s="1"/>
  <c r="I50" i="1" s="1"/>
  <c r="H82" i="7"/>
  <c r="G82" i="7" s="1"/>
  <c r="H49" i="1" s="1"/>
  <c r="O81" i="7"/>
  <c r="H81" i="7"/>
  <c r="J81" i="7" s="1"/>
  <c r="O80" i="7"/>
  <c r="H80" i="7"/>
  <c r="I80" i="7" s="1"/>
  <c r="I47" i="1" s="1"/>
  <c r="H79" i="7"/>
  <c r="J79" i="7" s="1"/>
  <c r="O78" i="7"/>
  <c r="H78" i="7"/>
  <c r="J78" i="7" s="1"/>
  <c r="N78" i="7" s="1"/>
  <c r="E45" i="2" s="1"/>
  <c r="E53" i="5" s="1"/>
  <c r="O77" i="7"/>
  <c r="J77" i="7"/>
  <c r="I77" i="7"/>
  <c r="G77" i="7"/>
  <c r="H76" i="7"/>
  <c r="J76" i="7" s="1"/>
  <c r="O75" i="7"/>
  <c r="H75" i="7"/>
  <c r="G75" i="7" s="1"/>
  <c r="H42" i="1" s="1"/>
  <c r="H74" i="7"/>
  <c r="J74" i="7" s="1"/>
  <c r="H73" i="7"/>
  <c r="G73" i="7" s="1"/>
  <c r="H40" i="1" s="1"/>
  <c r="O72" i="7"/>
  <c r="H72" i="7"/>
  <c r="G72" i="7" s="1"/>
  <c r="H26" i="1" s="1"/>
  <c r="O71" i="7"/>
  <c r="H71" i="7"/>
  <c r="J71" i="7" s="1"/>
  <c r="H70" i="7"/>
  <c r="G70" i="7" s="1"/>
  <c r="O69" i="7"/>
  <c r="H69" i="7"/>
  <c r="J69" i="7" s="1"/>
  <c r="N69" i="7" s="1"/>
  <c r="E39" i="2" s="1"/>
  <c r="E52" i="5" s="1"/>
  <c r="O68" i="7"/>
  <c r="H68" i="7"/>
  <c r="G68" i="7" s="1"/>
  <c r="H39" i="1" s="1"/>
  <c r="H67" i="7"/>
  <c r="J67" i="7" s="1"/>
  <c r="H66" i="7"/>
  <c r="G66" i="7" s="1"/>
  <c r="O65" i="7"/>
  <c r="H65" i="7"/>
  <c r="I65" i="7" s="1"/>
  <c r="M65" i="7" s="1"/>
  <c r="F36" i="2" s="1"/>
  <c r="O64" i="7"/>
  <c r="H64" i="7"/>
  <c r="J64" i="7" s="1"/>
  <c r="N64" i="7" s="1"/>
  <c r="E37" i="2" s="1"/>
  <c r="O63" i="7"/>
  <c r="H63" i="7"/>
  <c r="J63" i="7" s="1"/>
  <c r="N63" i="7" s="1"/>
  <c r="E35" i="2" s="1"/>
  <c r="O62" i="7"/>
  <c r="J62" i="7"/>
  <c r="N62" i="7" s="1"/>
  <c r="I62" i="7"/>
  <c r="M62" i="7" s="1"/>
  <c r="G62" i="7"/>
  <c r="L62" i="7" s="1"/>
  <c r="O61" i="7"/>
  <c r="H61" i="7"/>
  <c r="J61" i="7" s="1"/>
  <c r="H60" i="7"/>
  <c r="J60" i="7" s="1"/>
  <c r="O59" i="7"/>
  <c r="G59" i="7"/>
  <c r="J58" i="7"/>
  <c r="O57" i="7"/>
  <c r="J57" i="7"/>
  <c r="I57" i="7"/>
  <c r="G57" i="7"/>
  <c r="O56" i="7"/>
  <c r="J56" i="7"/>
  <c r="I56" i="7"/>
  <c r="G56" i="7"/>
  <c r="O55" i="7"/>
  <c r="J55" i="7"/>
  <c r="I55" i="7"/>
  <c r="G55" i="7"/>
  <c r="O54" i="7"/>
  <c r="J54" i="7"/>
  <c r="N54" i="7" s="1"/>
  <c r="I54" i="7"/>
  <c r="M54" i="7" s="1"/>
  <c r="G54" i="7"/>
  <c r="L54" i="7" s="1"/>
  <c r="O53" i="7"/>
  <c r="H53" i="7"/>
  <c r="J53" i="7" s="1"/>
  <c r="H52" i="7"/>
  <c r="J52" i="7" s="1"/>
  <c r="O51" i="7"/>
  <c r="H51" i="7"/>
  <c r="I51" i="7" s="1"/>
  <c r="I33" i="1" s="1"/>
  <c r="H50" i="7"/>
  <c r="J50" i="7" s="1"/>
  <c r="O49" i="7"/>
  <c r="J49" i="7"/>
  <c r="N49" i="7" s="1"/>
  <c r="I49" i="7"/>
  <c r="M49" i="7" s="1"/>
  <c r="G49" i="7"/>
  <c r="L49" i="7" s="1"/>
  <c r="O48" i="7"/>
  <c r="H48" i="7"/>
  <c r="J48" i="7" s="1"/>
  <c r="N48" i="7" s="1"/>
  <c r="O47" i="7"/>
  <c r="H47" i="7"/>
  <c r="J47" i="7" s="1"/>
  <c r="H46" i="7"/>
  <c r="J46" i="7" s="1"/>
  <c r="H45" i="7"/>
  <c r="I45" i="7" s="1"/>
  <c r="H44" i="7"/>
  <c r="J44" i="7" s="1"/>
  <c r="O43" i="7"/>
  <c r="H43" i="7"/>
  <c r="J43" i="7" s="1"/>
  <c r="H42" i="7"/>
  <c r="G42" i="7" s="1"/>
  <c r="D50" i="1" s="1"/>
  <c r="H41" i="7"/>
  <c r="J41" i="7" s="1"/>
  <c r="O40" i="7"/>
  <c r="H40" i="7"/>
  <c r="G40" i="7" s="1"/>
  <c r="H58" i="1" s="1"/>
  <c r="H39" i="7"/>
  <c r="G39" i="7" s="1"/>
  <c r="H57" i="1" s="1"/>
  <c r="O38" i="7"/>
  <c r="H38" i="7"/>
  <c r="J38" i="7" s="1"/>
  <c r="H37" i="7"/>
  <c r="J37" i="7" s="1"/>
  <c r="H36" i="7"/>
  <c r="I36" i="7" s="1"/>
  <c r="H35" i="7"/>
  <c r="G35" i="7" s="1"/>
  <c r="D64" i="1" s="1"/>
  <c r="O34" i="7"/>
  <c r="H34" i="7"/>
  <c r="I34" i="7" s="1"/>
  <c r="E48" i="1" s="1"/>
  <c r="H33" i="7"/>
  <c r="I33" i="7" s="1"/>
  <c r="O32" i="7"/>
  <c r="H32" i="7"/>
  <c r="J32" i="7" s="1"/>
  <c r="O31" i="7"/>
  <c r="J31" i="7"/>
  <c r="I31" i="7"/>
  <c r="G31" i="7"/>
  <c r="H30" i="7"/>
  <c r="J30" i="7" s="1"/>
  <c r="L29" i="7"/>
  <c r="J29" i="7"/>
  <c r="N29" i="7" s="1"/>
  <c r="I29" i="7"/>
  <c r="M29" i="7" s="1"/>
  <c r="O28" i="7"/>
  <c r="H28" i="7"/>
  <c r="J28" i="7" s="1"/>
  <c r="J27" i="7"/>
  <c r="I27" i="7"/>
  <c r="G27" i="7"/>
  <c r="O26" i="7"/>
  <c r="J26" i="7"/>
  <c r="N26" i="7" s="1"/>
  <c r="I26" i="7"/>
  <c r="M26" i="7" s="1"/>
  <c r="G26" i="7"/>
  <c r="L26" i="7" s="1"/>
  <c r="H25" i="7"/>
  <c r="J25" i="7" s="1"/>
  <c r="O24" i="7"/>
  <c r="H24" i="7"/>
  <c r="J24" i="7" s="1"/>
  <c r="O23" i="7"/>
  <c r="H23" i="7"/>
  <c r="I23" i="7" s="1"/>
  <c r="E43" i="1" s="1"/>
  <c r="H22" i="7"/>
  <c r="I22" i="7" s="1"/>
  <c r="E44" i="1" s="1"/>
  <c r="H21" i="7"/>
  <c r="I21" i="7" s="1"/>
  <c r="E42" i="1" s="1"/>
  <c r="J20" i="7"/>
  <c r="I20" i="7"/>
  <c r="G20" i="7"/>
  <c r="O19" i="7"/>
  <c r="H19" i="7"/>
  <c r="I19" i="7" s="1"/>
  <c r="E41" i="1" s="1"/>
  <c r="H18" i="7"/>
  <c r="I18" i="7" s="1"/>
  <c r="E40" i="1" s="1"/>
  <c r="H17" i="7"/>
  <c r="I17" i="7" s="1"/>
  <c r="E39" i="1" s="1"/>
  <c r="O16" i="7"/>
  <c r="J16" i="7"/>
  <c r="N16" i="7" s="1"/>
  <c r="E15" i="2" s="1"/>
  <c r="I16" i="7"/>
  <c r="M16" i="7" s="1"/>
  <c r="F15" i="2" s="1"/>
  <c r="L45" i="2" s="1"/>
  <c r="G16" i="7"/>
  <c r="L16" i="7" s="1"/>
  <c r="D15" i="2" s="1"/>
  <c r="O15" i="7"/>
  <c r="H15" i="7"/>
  <c r="J15" i="7" s="1"/>
  <c r="N15" i="7" s="1"/>
  <c r="E14" i="2" s="1"/>
  <c r="E15" i="5" s="1"/>
  <c r="O14" i="7"/>
  <c r="H14" i="7"/>
  <c r="J14" i="7" s="1"/>
  <c r="N14" i="7" s="1"/>
  <c r="E13" i="2" s="1"/>
  <c r="E14" i="5" s="1"/>
  <c r="O13" i="7"/>
  <c r="H13" i="7"/>
  <c r="G13" i="7" s="1"/>
  <c r="D58" i="1" s="1"/>
  <c r="H12" i="7"/>
  <c r="J12" i="7" s="1"/>
  <c r="O11" i="7"/>
  <c r="L11" i="7"/>
  <c r="J11" i="7"/>
  <c r="N11" i="7" s="1"/>
  <c r="I11" i="7"/>
  <c r="M11" i="7" s="1"/>
  <c r="H10" i="7"/>
  <c r="I10" i="7" s="1"/>
  <c r="E33" i="1" s="1"/>
  <c r="H9" i="7"/>
  <c r="I9" i="7" s="1"/>
  <c r="E32" i="1" s="1"/>
  <c r="H8" i="7"/>
  <c r="I8" i="7" s="1"/>
  <c r="O7" i="7"/>
  <c r="L7" i="7"/>
  <c r="J7" i="7"/>
  <c r="N7" i="7" s="1"/>
  <c r="I7" i="7"/>
  <c r="M7" i="7" s="1"/>
  <c r="O6" i="7"/>
  <c r="L6" i="7"/>
  <c r="J6" i="7"/>
  <c r="N6" i="7" s="1"/>
  <c r="I6" i="7"/>
  <c r="M6" i="7" s="1"/>
  <c r="O5" i="7"/>
  <c r="H5" i="7"/>
  <c r="J5" i="7" s="1"/>
  <c r="J4" i="7"/>
  <c r="I4" i="7"/>
  <c r="G4" i="7"/>
  <c r="G3" i="7"/>
  <c r="A3" i="7"/>
  <c r="H3" i="7" s="1"/>
  <c r="C47" i="5"/>
  <c r="B41" i="5"/>
  <c r="B11" i="5"/>
  <c r="R10" i="5"/>
  <c r="Q10" i="5"/>
  <c r="N10" i="5"/>
  <c r="M10" i="5"/>
  <c r="P10" i="5"/>
  <c r="O10" i="5"/>
  <c r="L10" i="5"/>
  <c r="K10" i="5"/>
  <c r="J10" i="5"/>
  <c r="I10" i="5"/>
  <c r="H10" i="5"/>
  <c r="G10" i="5"/>
  <c r="O8" i="5"/>
  <c r="K8" i="5"/>
  <c r="I8" i="5"/>
  <c r="G8" i="5"/>
  <c r="B7" i="5"/>
  <c r="B5" i="5"/>
  <c r="G3" i="5"/>
  <c r="G47" i="2"/>
  <c r="B45" i="5" s="1"/>
  <c r="G55" i="2"/>
  <c r="B53" i="5" s="1"/>
  <c r="G54" i="2"/>
  <c r="B52" i="5" s="1"/>
  <c r="C48" i="2"/>
  <c r="C45" i="5" s="1"/>
  <c r="G53" i="2"/>
  <c r="C47" i="2"/>
  <c r="C25" i="5" s="1"/>
  <c r="G52" i="2"/>
  <c r="B50" i="5" s="1"/>
  <c r="C46" i="2"/>
  <c r="C40" i="5" s="1"/>
  <c r="G51" i="2"/>
  <c r="B49" i="5" s="1"/>
  <c r="C45" i="2"/>
  <c r="C53" i="5" s="1"/>
  <c r="G50" i="2"/>
  <c r="B48" i="5" s="1"/>
  <c r="C44" i="2"/>
  <c r="C39" i="5" s="1"/>
  <c r="G49" i="2"/>
  <c r="B47" i="5" s="1"/>
  <c r="C43" i="2"/>
  <c r="C37" i="5" s="1"/>
  <c r="G48" i="2"/>
  <c r="B46" i="5" s="1"/>
  <c r="C42" i="2"/>
  <c r="C36" i="5" s="1"/>
  <c r="G46" i="2"/>
  <c r="B44" i="5" s="1"/>
  <c r="C41" i="2"/>
  <c r="C24" i="5" s="1"/>
  <c r="G45" i="2"/>
  <c r="C40" i="2"/>
  <c r="C23" i="5" s="1"/>
  <c r="G43" i="2"/>
  <c r="B42" i="5" s="1"/>
  <c r="C39" i="2"/>
  <c r="C52" i="5" s="1"/>
  <c r="C38" i="2"/>
  <c r="C37" i="2"/>
  <c r="C20" i="5" s="1"/>
  <c r="G40" i="2"/>
  <c r="B40" i="5" s="1"/>
  <c r="C36" i="2"/>
  <c r="C19" i="5" s="1"/>
  <c r="G39" i="2"/>
  <c r="B39" i="5" s="1"/>
  <c r="C35" i="2"/>
  <c r="G37" i="2"/>
  <c r="B37" i="5" s="1"/>
  <c r="C34" i="2"/>
  <c r="G36" i="2"/>
  <c r="B36" i="5" s="1"/>
  <c r="C33" i="2"/>
  <c r="C50" i="5" s="1"/>
  <c r="G35" i="2"/>
  <c r="B35" i="5" s="1"/>
  <c r="C32" i="2"/>
  <c r="G34" i="2"/>
  <c r="B34" i="5" s="1"/>
  <c r="C31" i="2"/>
  <c r="C35" i="5" s="1"/>
  <c r="G33" i="2"/>
  <c r="B33" i="5" s="1"/>
  <c r="C30" i="2"/>
  <c r="C18" i="5" s="1"/>
  <c r="G28" i="2"/>
  <c r="B28" i="5" s="1"/>
  <c r="C29" i="2"/>
  <c r="C17" i="5" s="1"/>
  <c r="G32" i="2"/>
  <c r="B32" i="5" s="1"/>
  <c r="C28" i="2"/>
  <c r="G31" i="2"/>
  <c r="B31" i="5" s="1"/>
  <c r="C27" i="2"/>
  <c r="C49" i="5" s="1"/>
  <c r="G30" i="2"/>
  <c r="B30" i="5" s="1"/>
  <c r="C26" i="2"/>
  <c r="C48" i="5" s="1"/>
  <c r="C24" i="2"/>
  <c r="C46" i="5" s="1"/>
  <c r="G24" i="2"/>
  <c r="B25" i="5" s="1"/>
  <c r="C23" i="2"/>
  <c r="C33" i="5" s="1"/>
  <c r="G18" i="2"/>
  <c r="B19" i="5" s="1"/>
  <c r="C22" i="2"/>
  <c r="C34" i="5" s="1"/>
  <c r="G23" i="2"/>
  <c r="B24" i="5" s="1"/>
  <c r="C21" i="2"/>
  <c r="C16" i="5" s="1"/>
  <c r="G22" i="2"/>
  <c r="B23" i="5" s="1"/>
  <c r="C20" i="2"/>
  <c r="C28" i="5" s="1"/>
  <c r="C19" i="2"/>
  <c r="C44" i="5" s="1"/>
  <c r="C18" i="2"/>
  <c r="C32" i="5" s="1"/>
  <c r="C17" i="2"/>
  <c r="C31" i="5" s="1"/>
  <c r="G17" i="2"/>
  <c r="B18" i="5" s="1"/>
  <c r="C16" i="2"/>
  <c r="C30" i="5" s="1"/>
  <c r="G16" i="2"/>
  <c r="B17" i="5" s="1"/>
  <c r="C15" i="2"/>
  <c r="G15" i="2"/>
  <c r="B16" i="5" s="1"/>
  <c r="C14" i="2"/>
  <c r="C15" i="5" s="1"/>
  <c r="G14" i="2"/>
  <c r="B15" i="5" s="1"/>
  <c r="C13" i="2"/>
  <c r="C14" i="5" s="1"/>
  <c r="G13" i="2"/>
  <c r="B14" i="5" s="1"/>
  <c r="C12" i="2"/>
  <c r="C42" i="5" s="1"/>
  <c r="G11" i="2"/>
  <c r="B12" i="5" s="1"/>
  <c r="C11" i="2"/>
  <c r="C27" i="5" s="1"/>
  <c r="C10" i="2"/>
  <c r="C12" i="5" s="1"/>
  <c r="I5" i="2"/>
  <c r="D5" i="2"/>
  <c r="D77" i="1"/>
  <c r="I77" i="5" s="1"/>
  <c r="B67" i="1"/>
  <c r="F62" i="1"/>
  <c r="B66" i="1"/>
  <c r="F61" i="1"/>
  <c r="B65" i="1"/>
  <c r="B64" i="1"/>
  <c r="B63" i="1"/>
  <c r="F60" i="1"/>
  <c r="B62" i="1"/>
  <c r="F59" i="1"/>
  <c r="B61" i="1"/>
  <c r="F58" i="1"/>
  <c r="B58" i="1"/>
  <c r="F57" i="1"/>
  <c r="B57" i="1"/>
  <c r="B51" i="1"/>
  <c r="B50" i="1"/>
  <c r="B49" i="1"/>
  <c r="B48" i="1"/>
  <c r="F47" i="1"/>
  <c r="B47" i="1"/>
  <c r="F46" i="1"/>
  <c r="B46" i="1"/>
  <c r="F43" i="1"/>
  <c r="B45" i="1"/>
  <c r="F42" i="1"/>
  <c r="B44" i="1"/>
  <c r="F41" i="1"/>
  <c r="B43" i="1"/>
  <c r="F40" i="1"/>
  <c r="B42" i="1"/>
  <c r="F39" i="1"/>
  <c r="B41" i="1"/>
  <c r="F38" i="1"/>
  <c r="B40" i="1"/>
  <c r="F37" i="1"/>
  <c r="B39" i="1"/>
  <c r="F36" i="1"/>
  <c r="B33" i="1"/>
  <c r="B32" i="1"/>
  <c r="B31" i="1"/>
  <c r="F28" i="1"/>
  <c r="B29" i="1"/>
  <c r="B28" i="1"/>
  <c r="B27" i="1"/>
  <c r="F25" i="1"/>
  <c r="B26" i="1"/>
  <c r="F24" i="1"/>
  <c r="B25" i="1"/>
  <c r="F23" i="1"/>
  <c r="B24" i="1"/>
  <c r="F22" i="1"/>
  <c r="F21" i="1"/>
  <c r="B22" i="1"/>
  <c r="F20" i="1"/>
  <c r="B20" i="1"/>
  <c r="B9" i="1"/>
  <c r="U6" i="1"/>
  <c r="U2" i="1"/>
  <c r="D2" i="1"/>
  <c r="E2" i="2" s="1"/>
  <c r="M86" i="7" l="1"/>
  <c r="M87" i="7"/>
  <c r="L87" i="7"/>
  <c r="D15" i="1"/>
  <c r="L86" i="7"/>
  <c r="D14" i="1"/>
  <c r="L88" i="7"/>
  <c r="D16" i="1"/>
  <c r="H45" i="2"/>
  <c r="J45" i="2"/>
  <c r="K45" i="2" s="1"/>
  <c r="F19" i="5"/>
  <c r="H44" i="1"/>
  <c r="E31" i="1"/>
  <c r="D60" i="1"/>
  <c r="L100" i="7"/>
  <c r="D49" i="2" s="1"/>
  <c r="H45" i="1"/>
  <c r="L98" i="7"/>
  <c r="D51" i="2" s="1"/>
  <c r="I45" i="1"/>
  <c r="I3" i="2"/>
  <c r="J100" i="7"/>
  <c r="I100" i="7"/>
  <c r="C21" i="5"/>
  <c r="C22" i="5"/>
  <c r="G99" i="7"/>
  <c r="I99" i="7"/>
  <c r="I5" i="5"/>
  <c r="I162" i="7"/>
  <c r="M162" i="7" s="1"/>
  <c r="L144" i="7"/>
  <c r="J145" i="7"/>
  <c r="N145" i="7" s="1"/>
  <c r="J147" i="7"/>
  <c r="N147" i="7" s="1"/>
  <c r="J149" i="7"/>
  <c r="N149" i="7" s="1"/>
  <c r="J151" i="7"/>
  <c r="N151" i="7" s="1"/>
  <c r="J153" i="7"/>
  <c r="N153" i="7" s="1"/>
  <c r="J155" i="7"/>
  <c r="N155" i="7" s="1"/>
  <c r="J157" i="7"/>
  <c r="N157" i="7" s="1"/>
  <c r="D59" i="1"/>
  <c r="L94" i="7"/>
  <c r="J97" i="7"/>
  <c r="I163" i="7"/>
  <c r="M163" i="7" s="1"/>
  <c r="G162" i="7"/>
  <c r="L162" i="7" s="1"/>
  <c r="J146" i="7"/>
  <c r="N146" i="7" s="1"/>
  <c r="J148" i="7"/>
  <c r="N148" i="7" s="1"/>
  <c r="J150" i="7"/>
  <c r="N150" i="7" s="1"/>
  <c r="J152" i="7"/>
  <c r="N152" i="7" s="1"/>
  <c r="J154" i="7"/>
  <c r="N154" i="7" s="1"/>
  <c r="J156" i="7"/>
  <c r="N156" i="7" s="1"/>
  <c r="J158" i="7"/>
  <c r="N158" i="7" s="1"/>
  <c r="G97" i="7"/>
  <c r="I63" i="1"/>
  <c r="M97" i="7"/>
  <c r="F52" i="2" s="1"/>
  <c r="J96" i="7"/>
  <c r="I96" i="7"/>
  <c r="M98" i="7" s="1"/>
  <c r="I94" i="7"/>
  <c r="J94" i="7"/>
  <c r="N94" i="7" s="1"/>
  <c r="J163" i="7"/>
  <c r="N163" i="7" s="1"/>
  <c r="G95" i="7"/>
  <c r="I95" i="7"/>
  <c r="J95" i="7"/>
  <c r="G161" i="7"/>
  <c r="L161" i="7" s="1"/>
  <c r="I161" i="7"/>
  <c r="M161" i="7" s="1"/>
  <c r="G163" i="7"/>
  <c r="L163" i="7" s="1"/>
  <c r="G145" i="7"/>
  <c r="L145" i="7" s="1"/>
  <c r="G146" i="7"/>
  <c r="L146" i="7" s="1"/>
  <c r="G147" i="7"/>
  <c r="L147" i="7" s="1"/>
  <c r="G148" i="7"/>
  <c r="L148" i="7" s="1"/>
  <c r="G149" i="7"/>
  <c r="L149" i="7" s="1"/>
  <c r="G150" i="7"/>
  <c r="L150" i="7" s="1"/>
  <c r="G151" i="7"/>
  <c r="L151" i="7" s="1"/>
  <c r="G152" i="7"/>
  <c r="L152" i="7" s="1"/>
  <c r="G153" i="7"/>
  <c r="L153" i="7" s="1"/>
  <c r="G154" i="7"/>
  <c r="L154" i="7" s="1"/>
  <c r="G155" i="7"/>
  <c r="L155" i="7" s="1"/>
  <c r="G156" i="7"/>
  <c r="L156" i="7" s="1"/>
  <c r="G157" i="7"/>
  <c r="L157" i="7" s="1"/>
  <c r="G158" i="7"/>
  <c r="L158" i="7" s="1"/>
  <c r="G159" i="7"/>
  <c r="L159" i="7" s="1"/>
  <c r="I160" i="7"/>
  <c r="M160" i="7" s="1"/>
  <c r="I144" i="7"/>
  <c r="M144" i="7" s="1"/>
  <c r="I159" i="7"/>
  <c r="M159" i="7" s="1"/>
  <c r="J160" i="7"/>
  <c r="N160" i="7" s="1"/>
  <c r="J144" i="7"/>
  <c r="N144" i="7" s="1"/>
  <c r="I145" i="7"/>
  <c r="M145" i="7" s="1"/>
  <c r="I146" i="7"/>
  <c r="M146" i="7" s="1"/>
  <c r="I147" i="7"/>
  <c r="M147" i="7" s="1"/>
  <c r="I148" i="7"/>
  <c r="M148" i="7" s="1"/>
  <c r="I149" i="7"/>
  <c r="M149" i="7" s="1"/>
  <c r="I150" i="7"/>
  <c r="M150" i="7" s="1"/>
  <c r="I151" i="7"/>
  <c r="M151" i="7" s="1"/>
  <c r="I152" i="7"/>
  <c r="M152" i="7" s="1"/>
  <c r="I153" i="7"/>
  <c r="M153" i="7" s="1"/>
  <c r="I154" i="7"/>
  <c r="M154" i="7" s="1"/>
  <c r="I155" i="7"/>
  <c r="M155" i="7" s="1"/>
  <c r="I156" i="7"/>
  <c r="M156" i="7" s="1"/>
  <c r="I157" i="7"/>
  <c r="M157" i="7" s="1"/>
  <c r="I158" i="7"/>
  <c r="M158" i="7" s="1"/>
  <c r="G2" i="5"/>
  <c r="G46" i="7"/>
  <c r="D27" i="1" s="1"/>
  <c r="L93" i="7"/>
  <c r="J93" i="7"/>
  <c r="N93" i="7" s="1"/>
  <c r="E48" i="2" s="1"/>
  <c r="E45" i="5" s="1"/>
  <c r="J34" i="7"/>
  <c r="J17" i="7"/>
  <c r="J22" i="7"/>
  <c r="C135" i="7"/>
  <c r="G61" i="7"/>
  <c r="H60" i="1" s="1"/>
  <c r="I40" i="7"/>
  <c r="I58" i="1" s="1"/>
  <c r="I76" i="7"/>
  <c r="I43" i="1" s="1"/>
  <c r="J75" i="7"/>
  <c r="J68" i="7"/>
  <c r="J66" i="7"/>
  <c r="G85" i="7"/>
  <c r="L85" i="7" s="1"/>
  <c r="D47" i="2" s="1"/>
  <c r="D25" i="5" s="1"/>
  <c r="G64" i="7"/>
  <c r="L64" i="7" s="1"/>
  <c r="D37" i="2" s="1"/>
  <c r="J65" i="7"/>
  <c r="N65" i="7" s="1"/>
  <c r="E36" i="2" s="1"/>
  <c r="E19" i="5" s="1"/>
  <c r="G65" i="7"/>
  <c r="L65" i="7" s="1"/>
  <c r="D36" i="2" s="1"/>
  <c r="D19" i="5" s="1"/>
  <c r="G37" i="7"/>
  <c r="D66" i="1" s="1"/>
  <c r="I93" i="7"/>
  <c r="N24" i="7"/>
  <c r="E19" i="2" s="1"/>
  <c r="E44" i="5" s="1"/>
  <c r="G34" i="7"/>
  <c r="D48" i="1" s="1"/>
  <c r="G33" i="7"/>
  <c r="D47" i="1" s="1"/>
  <c r="G32" i="7"/>
  <c r="J23" i="7"/>
  <c r="G23" i="7"/>
  <c r="D43" i="1" s="1"/>
  <c r="G21" i="7"/>
  <c r="D42" i="1" s="1"/>
  <c r="J21" i="7"/>
  <c r="G18" i="7"/>
  <c r="D40" i="1" s="1"/>
  <c r="J18" i="7"/>
  <c r="J10" i="7"/>
  <c r="J9" i="7"/>
  <c r="G8" i="7"/>
  <c r="D31" i="1" s="1"/>
  <c r="J8" i="7"/>
  <c r="J45" i="7"/>
  <c r="N47" i="7" s="1"/>
  <c r="E29" i="2" s="1"/>
  <c r="E17" i="5" s="1"/>
  <c r="G44" i="7"/>
  <c r="I44" i="7"/>
  <c r="I5" i="7"/>
  <c r="E20" i="1" s="1"/>
  <c r="N77" i="7"/>
  <c r="E43" i="2" s="1"/>
  <c r="E37" i="5" s="1"/>
  <c r="I39" i="7"/>
  <c r="I57" i="1" s="1"/>
  <c r="J39" i="7"/>
  <c r="I58" i="7"/>
  <c r="G52" i="7"/>
  <c r="H34" i="1" s="1"/>
  <c r="G81" i="7"/>
  <c r="H48" i="1" s="1"/>
  <c r="I52" i="7"/>
  <c r="I34" i="1" s="1"/>
  <c r="I81" i="7"/>
  <c r="I48" i="1" s="1"/>
  <c r="G76" i="7"/>
  <c r="H43" i="1" s="1"/>
  <c r="G51" i="7"/>
  <c r="H33" i="1" s="1"/>
  <c r="G53" i="7"/>
  <c r="H35" i="1" s="1"/>
  <c r="G63" i="7"/>
  <c r="L63" i="7" s="1"/>
  <c r="D35" i="2" s="1"/>
  <c r="J51" i="7"/>
  <c r="N53" i="7" s="1"/>
  <c r="E31" i="2" s="1"/>
  <c r="E35" i="5" s="1"/>
  <c r="I53" i="7"/>
  <c r="I35" i="1" s="1"/>
  <c r="I63" i="7"/>
  <c r="M63" i="7" s="1"/>
  <c r="F35" i="2" s="1"/>
  <c r="J73" i="7"/>
  <c r="J80" i="7"/>
  <c r="N80" i="7" s="1"/>
  <c r="E44" i="2" s="1"/>
  <c r="E39" i="5" s="1"/>
  <c r="J83" i="7"/>
  <c r="J70" i="7"/>
  <c r="N71" i="7" s="1"/>
  <c r="E40" i="2" s="1"/>
  <c r="G92" i="7"/>
  <c r="M36" i="7"/>
  <c r="F25" i="2" s="1"/>
  <c r="E65" i="1"/>
  <c r="I35" i="7"/>
  <c r="M35" i="7" s="1"/>
  <c r="F24" i="2" s="1"/>
  <c r="I12" i="7"/>
  <c r="E57" i="1" s="1"/>
  <c r="G25" i="7"/>
  <c r="D62" i="1" s="1"/>
  <c r="J35" i="7"/>
  <c r="N35" i="7" s="1"/>
  <c r="E24" i="2" s="1"/>
  <c r="E46" i="5" s="1"/>
  <c r="G36" i="7"/>
  <c r="D65" i="1" s="1"/>
  <c r="G9" i="7"/>
  <c r="D32" i="1" s="1"/>
  <c r="G17" i="7"/>
  <c r="D39" i="1" s="1"/>
  <c r="J19" i="7"/>
  <c r="G22" i="7"/>
  <c r="D44" i="1" s="1"/>
  <c r="G30" i="7"/>
  <c r="D46" i="1" s="1"/>
  <c r="G10" i="7"/>
  <c r="D33" i="1" s="1"/>
  <c r="J33" i="7"/>
  <c r="G19" i="7"/>
  <c r="D41" i="1" s="1"/>
  <c r="G14" i="7"/>
  <c r="L14" i="7" s="1"/>
  <c r="G47" i="7"/>
  <c r="D28" i="1" s="1"/>
  <c r="G28" i="7"/>
  <c r="L28" i="7" s="1"/>
  <c r="D21" i="2" s="1"/>
  <c r="D16" i="5" s="1"/>
  <c r="G45" i="7"/>
  <c r="I47" i="7"/>
  <c r="E28" i="1" s="1"/>
  <c r="G5" i="7"/>
  <c r="D20" i="1" s="1"/>
  <c r="I28" i="7"/>
  <c r="E24" i="1" s="1"/>
  <c r="I22" i="1"/>
  <c r="L40" i="7"/>
  <c r="D27" i="2" s="1"/>
  <c r="D49" i="5" s="1"/>
  <c r="I59" i="7"/>
  <c r="J59" i="7"/>
  <c r="N59" i="7" s="1"/>
  <c r="E34" i="2" s="1"/>
  <c r="I61" i="7"/>
  <c r="I60" i="1" s="1"/>
  <c r="J40" i="7"/>
  <c r="G58" i="7"/>
  <c r="L59" i="7" s="1"/>
  <c r="D34" i="2" s="1"/>
  <c r="G60" i="7"/>
  <c r="G69" i="7"/>
  <c r="G78" i="7"/>
  <c r="I60" i="7"/>
  <c r="I69" i="7"/>
  <c r="I78" i="7"/>
  <c r="M78" i="7" s="1"/>
  <c r="F45" i="2" s="1"/>
  <c r="H37" i="1"/>
  <c r="G50" i="7"/>
  <c r="H32" i="1" s="1"/>
  <c r="I66" i="7"/>
  <c r="I37" i="1" s="1"/>
  <c r="I68" i="7"/>
  <c r="I39" i="1" s="1"/>
  <c r="I73" i="7"/>
  <c r="I75" i="7"/>
  <c r="I42" i="1" s="1"/>
  <c r="G79" i="7"/>
  <c r="I82" i="7"/>
  <c r="I49" i="1" s="1"/>
  <c r="I84" i="7"/>
  <c r="I52" i="1" s="1"/>
  <c r="J82" i="7"/>
  <c r="J84" i="7"/>
  <c r="I50" i="7"/>
  <c r="I32" i="1" s="1"/>
  <c r="G67" i="7"/>
  <c r="H38" i="1" s="1"/>
  <c r="G74" i="7"/>
  <c r="I79" i="7"/>
  <c r="G83" i="7"/>
  <c r="H50" i="1" s="1"/>
  <c r="I67" i="7"/>
  <c r="I38" i="1" s="1"/>
  <c r="I74" i="7"/>
  <c r="I41" i="1" s="1"/>
  <c r="G80" i="7"/>
  <c r="H47" i="1" s="1"/>
  <c r="I72" i="7"/>
  <c r="J72" i="7"/>
  <c r="N72" i="7" s="1"/>
  <c r="E41" i="2" s="1"/>
  <c r="E24" i="5" s="1"/>
  <c r="L72" i="7"/>
  <c r="D41" i="2" s="1"/>
  <c r="D24" i="5" s="1"/>
  <c r="I85" i="7"/>
  <c r="H24" i="1"/>
  <c r="I70" i="7"/>
  <c r="G71" i="7"/>
  <c r="H25" i="1" s="1"/>
  <c r="G91" i="7"/>
  <c r="H21" i="1" s="1"/>
  <c r="I92" i="7"/>
  <c r="I64" i="7"/>
  <c r="I71" i="7"/>
  <c r="I25" i="1" s="1"/>
  <c r="I91" i="7"/>
  <c r="J91" i="7"/>
  <c r="N91" i="7" s="1"/>
  <c r="N38" i="7"/>
  <c r="E26" i="2" s="1"/>
  <c r="E48" i="5" s="1"/>
  <c r="I13" i="7"/>
  <c r="E58" i="1" s="1"/>
  <c r="J13" i="7"/>
  <c r="N13" i="7" s="1"/>
  <c r="E12" i="2" s="1"/>
  <c r="E42" i="5" s="1"/>
  <c r="L35" i="7"/>
  <c r="D24" i="2" s="1"/>
  <c r="D46" i="5" s="1"/>
  <c r="I37" i="7"/>
  <c r="E66" i="1" s="1"/>
  <c r="G12" i="7"/>
  <c r="I25" i="7"/>
  <c r="E62" i="1" s="1"/>
  <c r="G24" i="7"/>
  <c r="G38" i="7"/>
  <c r="D67" i="1" s="1"/>
  <c r="I24" i="7"/>
  <c r="E61" i="1" s="1"/>
  <c r="J36" i="7"/>
  <c r="N36" i="7" s="1"/>
  <c r="E25" i="2" s="1"/>
  <c r="E47" i="5" s="1"/>
  <c r="I38" i="7"/>
  <c r="M34" i="7"/>
  <c r="F22" i="2" s="1"/>
  <c r="B125" i="7" s="1"/>
  <c r="E47" i="1"/>
  <c r="I42" i="7"/>
  <c r="E50" i="1" s="1"/>
  <c r="I89" i="7"/>
  <c r="I30" i="7"/>
  <c r="I32" i="7"/>
  <c r="J42" i="7"/>
  <c r="N43" i="7" s="1"/>
  <c r="E28" i="2" s="1"/>
  <c r="J89" i="7"/>
  <c r="G41" i="7"/>
  <c r="G43" i="7"/>
  <c r="D51" i="1" s="1"/>
  <c r="G90" i="7"/>
  <c r="D35" i="1" s="1"/>
  <c r="I41" i="7"/>
  <c r="E49" i="1" s="1"/>
  <c r="I43" i="7"/>
  <c r="E51" i="1" s="1"/>
  <c r="N32" i="7"/>
  <c r="E18" i="2" s="1"/>
  <c r="E32" i="5" s="1"/>
  <c r="I90" i="7"/>
  <c r="E35" i="1" s="1"/>
  <c r="M23" i="7"/>
  <c r="F17" i="2" s="1"/>
  <c r="G15" i="7"/>
  <c r="I15" i="7"/>
  <c r="G48" i="7"/>
  <c r="L48" i="7" s="1"/>
  <c r="I46" i="7"/>
  <c r="E27" i="1" s="1"/>
  <c r="I48" i="7"/>
  <c r="E29" i="1" s="1"/>
  <c r="I14" i="7"/>
  <c r="E22" i="1" s="1"/>
  <c r="E26" i="1"/>
  <c r="N5" i="7"/>
  <c r="E10" i="2" s="1"/>
  <c r="E12" i="5" s="1"/>
  <c r="M10" i="7"/>
  <c r="F11" i="2" s="1"/>
  <c r="F27" i="5" s="1"/>
  <c r="C139" i="7"/>
  <c r="M19" i="7"/>
  <c r="F16" i="2" s="1"/>
  <c r="N57" i="7"/>
  <c r="E32" i="2" s="1"/>
  <c r="C136" i="7"/>
  <c r="N61" i="7"/>
  <c r="E33" i="2" s="1"/>
  <c r="E50" i="5" s="1"/>
  <c r="C140" i="7"/>
  <c r="N31" i="7"/>
  <c r="E23" i="2" s="1"/>
  <c r="E33" i="5" s="1"/>
  <c r="M57" i="7"/>
  <c r="F32" i="2" s="1"/>
  <c r="N28" i="7"/>
  <c r="E21" i="2" s="1"/>
  <c r="E16" i="5" s="1"/>
  <c r="B136" i="7"/>
  <c r="B135" i="7"/>
  <c r="B138" i="7"/>
  <c r="B137" i="7"/>
  <c r="M45" i="2"/>
  <c r="B140" i="7"/>
  <c r="B139" i="7"/>
  <c r="C137" i="7"/>
  <c r="L57" i="7"/>
  <c r="D32" i="2" s="1"/>
  <c r="C17" i="1" l="1"/>
  <c r="D45" i="1"/>
  <c r="L32" i="7"/>
  <c r="D18" i="2" s="1"/>
  <c r="D32" i="5" s="1"/>
  <c r="E45" i="1"/>
  <c r="M32" i="7"/>
  <c r="F18" i="2" s="1"/>
  <c r="N92" i="7"/>
  <c r="E30" i="2" s="1"/>
  <c r="E18" i="5" s="1"/>
  <c r="I45" i="2"/>
  <c r="S45" i="2" s="1"/>
  <c r="R45" i="2"/>
  <c r="M90" i="7"/>
  <c r="F20" i="2" s="1"/>
  <c r="F53" i="5"/>
  <c r="F46" i="5"/>
  <c r="F47" i="5"/>
  <c r="F31" i="5"/>
  <c r="N90" i="7"/>
  <c r="E20" i="2" s="1"/>
  <c r="E28" i="5" s="1"/>
  <c r="F54" i="5"/>
  <c r="N97" i="7"/>
  <c r="E52" i="2" s="1"/>
  <c r="E54" i="5" s="1"/>
  <c r="D26" i="1"/>
  <c r="E25" i="1"/>
  <c r="F51" i="2"/>
  <c r="D21" i="1"/>
  <c r="D25" i="1"/>
  <c r="I20" i="1"/>
  <c r="N95" i="7"/>
  <c r="E50" i="2" s="1"/>
  <c r="E13" i="5" s="1"/>
  <c r="D38" i="5"/>
  <c r="L84" i="7"/>
  <c r="D46" i="2" s="1"/>
  <c r="D40" i="5" s="1"/>
  <c r="N84" i="7"/>
  <c r="E46" i="2" s="1"/>
  <c r="E40" i="5" s="1"/>
  <c r="D43" i="5"/>
  <c r="M84" i="7"/>
  <c r="F46" i="2" s="1"/>
  <c r="M100" i="7"/>
  <c r="F49" i="2" s="1"/>
  <c r="N100" i="7"/>
  <c r="E49" i="2" s="1"/>
  <c r="E43" i="5" s="1"/>
  <c r="N98" i="7"/>
  <c r="E51" i="2" s="1"/>
  <c r="E38" i="5" s="1"/>
  <c r="E60" i="1"/>
  <c r="I51" i="1"/>
  <c r="H51" i="1"/>
  <c r="E23" i="5"/>
  <c r="H63" i="1"/>
  <c r="L97" i="7"/>
  <c r="D52" i="2" s="1"/>
  <c r="D54" i="5" s="1"/>
  <c r="L95" i="7"/>
  <c r="D50" i="2" s="1"/>
  <c r="D13" i="5" s="1"/>
  <c r="I44" i="1"/>
  <c r="E59" i="1"/>
  <c r="M95" i="7"/>
  <c r="F50" i="2" s="1"/>
  <c r="E21" i="1"/>
  <c r="D48" i="2"/>
  <c r="D45" i="5" s="1"/>
  <c r="E63" i="1"/>
  <c r="M93" i="7"/>
  <c r="F48" i="2" s="1"/>
  <c r="L23" i="7"/>
  <c r="D17" i="2" s="1"/>
  <c r="D31" i="5" s="1"/>
  <c r="L36" i="7"/>
  <c r="D25" i="2" s="1"/>
  <c r="D47" i="5" s="1"/>
  <c r="N34" i="7"/>
  <c r="E22" i="2" s="1"/>
  <c r="E34" i="5" s="1"/>
  <c r="L5" i="7"/>
  <c r="D10" i="2" s="1"/>
  <c r="D12" i="5" s="1"/>
  <c r="N19" i="7"/>
  <c r="E16" i="2" s="1"/>
  <c r="E30" i="5" s="1"/>
  <c r="M40" i="7"/>
  <c r="F27" i="2" s="1"/>
  <c r="D24" i="1"/>
  <c r="H22" i="1"/>
  <c r="N23" i="7"/>
  <c r="E17" i="2" s="1"/>
  <c r="E31" i="5" s="1"/>
  <c r="E64" i="1"/>
  <c r="Q34" i="7"/>
  <c r="L71" i="7"/>
  <c r="D40" i="2" s="1"/>
  <c r="D23" i="5" s="1"/>
  <c r="L53" i="7"/>
  <c r="D31" i="2" s="1"/>
  <c r="H20" i="1"/>
  <c r="N68" i="7"/>
  <c r="E38" i="2" s="1"/>
  <c r="N10" i="7"/>
  <c r="E11" i="2" s="1"/>
  <c r="E27" i="5" s="1"/>
  <c r="H28" i="1"/>
  <c r="H23" i="1"/>
  <c r="N40" i="7"/>
  <c r="E27" i="2" s="1"/>
  <c r="E49" i="5" s="1"/>
  <c r="M77" i="7"/>
  <c r="F43" i="2" s="1"/>
  <c r="L77" i="7"/>
  <c r="D43" i="2" s="1"/>
  <c r="D37" i="5" s="1"/>
  <c r="N75" i="7"/>
  <c r="E42" i="2" s="1"/>
  <c r="E36" i="5" s="1"/>
  <c r="L34" i="7"/>
  <c r="L31" i="7"/>
  <c r="D23" i="2" s="1"/>
  <c r="L10" i="7"/>
  <c r="D11" i="2" s="1"/>
  <c r="M5" i="7"/>
  <c r="F10" i="2" s="1"/>
  <c r="M48" i="7"/>
  <c r="R34" i="7"/>
  <c r="L19" i="7"/>
  <c r="D16" i="2" s="1"/>
  <c r="D30" i="5" s="1"/>
  <c r="M28" i="7"/>
  <c r="F21" i="2" s="1"/>
  <c r="L47" i="7"/>
  <c r="L68" i="7"/>
  <c r="D38" i="2" s="1"/>
  <c r="H36" i="1"/>
  <c r="I36" i="1"/>
  <c r="D22" i="1"/>
  <c r="D13" i="2"/>
  <c r="M14" i="7"/>
  <c r="F13" i="2" s="1"/>
  <c r="M53" i="7"/>
  <c r="F31" i="2" s="1"/>
  <c r="F34" i="5"/>
  <c r="M24" i="7"/>
  <c r="F19" i="2" s="1"/>
  <c r="M13" i="7"/>
  <c r="F12" i="2" s="1"/>
  <c r="L92" i="7"/>
  <c r="D30" i="2" s="1"/>
  <c r="D18" i="5" s="1"/>
  <c r="M92" i="7"/>
  <c r="F30" i="2" s="1"/>
  <c r="L38" i="7"/>
  <c r="D26" i="2" s="1"/>
  <c r="D48" i="5" s="1"/>
  <c r="L90" i="7"/>
  <c r="D20" i="2" s="1"/>
  <c r="D28" i="5" s="1"/>
  <c r="L91" i="7"/>
  <c r="L69" i="7"/>
  <c r="D39" i="2" s="1"/>
  <c r="D52" i="5" s="1"/>
  <c r="H61" i="1"/>
  <c r="L78" i="7"/>
  <c r="D45" i="2" s="1"/>
  <c r="D53" i="5" s="1"/>
  <c r="H62" i="1"/>
  <c r="M59" i="7"/>
  <c r="F34" i="2" s="1"/>
  <c r="I62" i="1"/>
  <c r="M69" i="7"/>
  <c r="F39" i="2" s="1"/>
  <c r="I61" i="1"/>
  <c r="L61" i="7"/>
  <c r="D33" i="2" s="1"/>
  <c r="D50" i="5" s="1"/>
  <c r="H59" i="1"/>
  <c r="M61" i="7"/>
  <c r="F33" i="2" s="1"/>
  <c r="I59" i="1"/>
  <c r="M75" i="7"/>
  <c r="F42" i="2" s="1"/>
  <c r="I40" i="1"/>
  <c r="M80" i="7"/>
  <c r="F44" i="2" s="1"/>
  <c r="I46" i="1"/>
  <c r="L75" i="7"/>
  <c r="D42" i="2" s="1"/>
  <c r="D36" i="5" s="1"/>
  <c r="H41" i="1"/>
  <c r="M68" i="7"/>
  <c r="F38" i="2" s="1"/>
  <c r="L80" i="7"/>
  <c r="D44" i="2" s="1"/>
  <c r="D39" i="5" s="1"/>
  <c r="H46" i="1"/>
  <c r="M85" i="7"/>
  <c r="F47" i="2" s="1"/>
  <c r="I28" i="1"/>
  <c r="M72" i="7"/>
  <c r="I26" i="1"/>
  <c r="M64" i="7"/>
  <c r="F37" i="2" s="1"/>
  <c r="I23" i="1"/>
  <c r="M71" i="7"/>
  <c r="F40" i="2" s="1"/>
  <c r="I24" i="1"/>
  <c r="M91" i="7"/>
  <c r="I21" i="1"/>
  <c r="M38" i="7"/>
  <c r="F26" i="2" s="1"/>
  <c r="E67" i="1"/>
  <c r="L13" i="7"/>
  <c r="D12" i="2" s="1"/>
  <c r="D42" i="5" s="1"/>
  <c r="D57" i="1"/>
  <c r="L24" i="7"/>
  <c r="D19" i="2" s="1"/>
  <c r="D44" i="5" s="1"/>
  <c r="D61" i="1"/>
  <c r="M31" i="7"/>
  <c r="F23" i="2" s="1"/>
  <c r="E46" i="1"/>
  <c r="E34" i="1"/>
  <c r="M43" i="7"/>
  <c r="F28" i="2" s="1"/>
  <c r="L43" i="7"/>
  <c r="D28" i="2" s="1"/>
  <c r="D49" i="1"/>
  <c r="M15" i="7"/>
  <c r="F14" i="2" s="1"/>
  <c r="E23" i="1"/>
  <c r="L15" i="7"/>
  <c r="D14" i="2" s="1"/>
  <c r="D23" i="1"/>
  <c r="D29" i="1"/>
  <c r="M47" i="7"/>
  <c r="F29" i="2" s="1"/>
  <c r="F30" i="5"/>
  <c r="D27" i="5" l="1"/>
  <c r="M27" i="1"/>
  <c r="M22" i="1"/>
  <c r="H25" i="2" s="1"/>
  <c r="L11" i="2" s="1"/>
  <c r="M24" i="1"/>
  <c r="H57" i="2" s="1"/>
  <c r="M23" i="1"/>
  <c r="M117" i="7"/>
  <c r="B58" i="5"/>
  <c r="F59" i="2"/>
  <c r="F13" i="1"/>
  <c r="D22" i="2"/>
  <c r="C67" i="2" s="1"/>
  <c r="C69" i="2" s="1"/>
  <c r="D15" i="5"/>
  <c r="F38" i="5"/>
  <c r="P11" i="2"/>
  <c r="Q11" i="2" s="1"/>
  <c r="F42" i="5"/>
  <c r="F35" i="5"/>
  <c r="F25" i="5"/>
  <c r="P24" i="2"/>
  <c r="Q24" i="2" s="1"/>
  <c r="P13" i="2"/>
  <c r="Q13" i="2" s="1"/>
  <c r="P15" i="2"/>
  <c r="Q15" i="2" s="1"/>
  <c r="F49" i="5"/>
  <c r="F23" i="5"/>
  <c r="F13" i="5"/>
  <c r="P12" i="2"/>
  <c r="Q12" i="2" s="1"/>
  <c r="P18" i="2"/>
  <c r="Q18" i="2" s="1"/>
  <c r="F41" i="2"/>
  <c r="D33" i="5"/>
  <c r="D35" i="5"/>
  <c r="F43" i="5"/>
  <c r="M33" i="1"/>
  <c r="B121" i="7"/>
  <c r="B128" i="7" s="1"/>
  <c r="F16" i="5"/>
  <c r="F37" i="5"/>
  <c r="F32" i="5"/>
  <c r="F12" i="5"/>
  <c r="D29" i="2"/>
  <c r="Q114" i="7"/>
  <c r="F14" i="5"/>
  <c r="F44" i="5"/>
  <c r="F40" i="5"/>
  <c r="F18" i="5"/>
  <c r="D14" i="5"/>
  <c r="B129" i="7"/>
  <c r="F45" i="5"/>
  <c r="F50" i="5"/>
  <c r="F52" i="5"/>
  <c r="B127" i="7"/>
  <c r="F39" i="5"/>
  <c r="F36" i="5"/>
  <c r="F48" i="5"/>
  <c r="F28" i="5"/>
  <c r="F33" i="5"/>
  <c r="F15" i="5"/>
  <c r="F17" i="5"/>
  <c r="C65" i="2" l="1"/>
  <c r="M38" i="1" s="1"/>
  <c r="D74" i="5" s="1"/>
  <c r="C64" i="2"/>
  <c r="L51" i="2"/>
  <c r="M51" i="2" s="1"/>
  <c r="L55" i="2"/>
  <c r="L54" i="2"/>
  <c r="L52" i="2"/>
  <c r="L48" i="2"/>
  <c r="M48" i="2" s="1"/>
  <c r="L49" i="2"/>
  <c r="L46" i="2"/>
  <c r="L43" i="2"/>
  <c r="D34" i="5"/>
  <c r="L50" i="2"/>
  <c r="G58" i="5"/>
  <c r="C71" i="2"/>
  <c r="C70" i="2"/>
  <c r="M40" i="1" s="1"/>
  <c r="D17" i="5"/>
  <c r="L16" i="2"/>
  <c r="L15" i="2"/>
  <c r="L14" i="2"/>
  <c r="L17" i="2"/>
  <c r="L13" i="2"/>
  <c r="L12" i="2"/>
  <c r="L18" i="2"/>
  <c r="L47" i="2"/>
  <c r="L24" i="2"/>
  <c r="M24" i="2" s="1"/>
  <c r="L19" i="2"/>
  <c r="E57" i="2"/>
  <c r="D71" i="5" s="1"/>
  <c r="L23" i="2"/>
  <c r="M23" i="2" s="1"/>
  <c r="L22" i="2"/>
  <c r="M22" i="2" s="1"/>
  <c r="L56" i="2"/>
  <c r="L44" i="2"/>
  <c r="M25" i="5"/>
  <c r="M12" i="5"/>
  <c r="M19" i="5"/>
  <c r="M16" i="5"/>
  <c r="M14" i="5"/>
  <c r="H41" i="2"/>
  <c r="P52" i="2"/>
  <c r="Q52" i="2" s="1"/>
  <c r="P49" i="2"/>
  <c r="P47" i="2"/>
  <c r="Q47" i="2" s="1"/>
  <c r="P46" i="2"/>
  <c r="P56" i="2"/>
  <c r="Q56" i="2" s="1"/>
  <c r="P55" i="2"/>
  <c r="D20" i="5"/>
  <c r="D72" i="5"/>
  <c r="M25" i="1"/>
  <c r="H69" i="1" s="1"/>
  <c r="F24" i="5"/>
  <c r="N13" i="5"/>
  <c r="M13" i="5"/>
  <c r="E20" i="5"/>
  <c r="F20" i="5"/>
  <c r="K34" i="5"/>
  <c r="N27" i="1"/>
  <c r="J48" i="2" s="1"/>
  <c r="F19" i="1"/>
  <c r="F30" i="1"/>
  <c r="R114" i="7"/>
  <c r="F56" i="1"/>
  <c r="M36" i="1" l="1"/>
  <c r="N38" i="1"/>
  <c r="N14" i="2" s="1"/>
  <c r="O15" i="5" s="1"/>
  <c r="M41" i="1"/>
  <c r="D75" i="5" s="1"/>
  <c r="M35" i="1"/>
  <c r="J52" i="2"/>
  <c r="K52" i="2" s="1"/>
  <c r="J43" i="2"/>
  <c r="K43" i="2" s="1"/>
  <c r="J46" i="2"/>
  <c r="K46" i="2" s="1"/>
  <c r="J49" i="2"/>
  <c r="K49" i="2" s="1"/>
  <c r="J54" i="2"/>
  <c r="K54" i="2" s="1"/>
  <c r="J55" i="2"/>
  <c r="K55" i="2" s="1"/>
  <c r="J51" i="2"/>
  <c r="K51" i="2" s="1"/>
  <c r="S51" i="2" s="1"/>
  <c r="N36" i="1"/>
  <c r="N38" i="2" s="1"/>
  <c r="O38" i="2" s="1"/>
  <c r="Q57" i="5"/>
  <c r="R63" i="2"/>
  <c r="L40" i="2"/>
  <c r="J40" i="2"/>
  <c r="K40" i="2" s="1"/>
  <c r="J39" i="2"/>
  <c r="K39" i="2" s="1"/>
  <c r="L39" i="2"/>
  <c r="J38" i="2"/>
  <c r="K38" i="2" s="1"/>
  <c r="L38" i="2"/>
  <c r="M38" i="2" s="1"/>
  <c r="L38" i="5" s="1"/>
  <c r="L37" i="2"/>
  <c r="J37" i="2"/>
  <c r="K37" i="2" s="1"/>
  <c r="J36" i="2"/>
  <c r="K36" i="2" s="1"/>
  <c r="L36" i="2"/>
  <c r="L33" i="2"/>
  <c r="J33" i="2"/>
  <c r="K33" i="2" s="1"/>
  <c r="Q69" i="2"/>
  <c r="G60" i="5"/>
  <c r="J32" i="2"/>
  <c r="K32" i="2" s="1"/>
  <c r="L32" i="2"/>
  <c r="L31" i="2"/>
  <c r="J31" i="2"/>
  <c r="K31" i="2" s="1"/>
  <c r="L35" i="2"/>
  <c r="J35" i="2"/>
  <c r="K35" i="2" s="1"/>
  <c r="Q55" i="2"/>
  <c r="K48" i="2"/>
  <c r="S48" i="2" s="1"/>
  <c r="R48" i="2"/>
  <c r="Q49" i="2"/>
  <c r="Q46" i="2"/>
  <c r="P67" i="2"/>
  <c r="L28" i="2"/>
  <c r="L29" i="2"/>
  <c r="J29" i="2"/>
  <c r="J12" i="2"/>
  <c r="K12" i="2" s="1"/>
  <c r="J17" i="2"/>
  <c r="K17" i="2" s="1"/>
  <c r="M41" i="2"/>
  <c r="L30" i="2"/>
  <c r="K30" i="5" s="1"/>
  <c r="D68" i="5"/>
  <c r="G68" i="5" s="1"/>
  <c r="J13" i="2"/>
  <c r="K13" i="2" s="1"/>
  <c r="J56" i="2"/>
  <c r="K56" i="2" s="1"/>
  <c r="J24" i="2"/>
  <c r="K24" i="2" s="1"/>
  <c r="J22" i="2"/>
  <c r="K22" i="2" s="1"/>
  <c r="J30" i="2"/>
  <c r="K30" i="2" s="1"/>
  <c r="J28" i="2"/>
  <c r="K28" i="2" s="1"/>
  <c r="J47" i="2"/>
  <c r="K47" i="2" s="1"/>
  <c r="J15" i="2"/>
  <c r="K15" i="2" s="1"/>
  <c r="J14" i="2"/>
  <c r="K14" i="2" s="1"/>
  <c r="J50" i="2"/>
  <c r="K50" i="2" s="1"/>
  <c r="J19" i="2"/>
  <c r="K19" i="2" s="1"/>
  <c r="J11" i="2"/>
  <c r="K11" i="2" s="1"/>
  <c r="J18" i="2"/>
  <c r="K18" i="2" s="1"/>
  <c r="J16" i="2"/>
  <c r="K16" i="2" s="1"/>
  <c r="J44" i="2"/>
  <c r="K44" i="2" s="1"/>
  <c r="J23" i="2"/>
  <c r="K23" i="2" s="1"/>
  <c r="I46" i="5"/>
  <c r="M44" i="5"/>
  <c r="D70" i="5"/>
  <c r="S115" i="7"/>
  <c r="D67" i="5"/>
  <c r="G67" i="5" s="1"/>
  <c r="M12" i="2"/>
  <c r="M45" i="5"/>
  <c r="M53" i="5"/>
  <c r="M50" i="5"/>
  <c r="M47" i="5"/>
  <c r="L34" i="5"/>
  <c r="K49" i="5"/>
  <c r="K46" i="5"/>
  <c r="K48" i="5"/>
  <c r="K52" i="5"/>
  <c r="K42" i="5"/>
  <c r="M18" i="2"/>
  <c r="M15" i="2"/>
  <c r="M13" i="2"/>
  <c r="K24" i="5"/>
  <c r="K23" i="5"/>
  <c r="M25" i="2"/>
  <c r="I34" i="5"/>
  <c r="N24" i="1"/>
  <c r="H55" i="2" s="1"/>
  <c r="I55" i="2" s="1"/>
  <c r="N23" i="1"/>
  <c r="H40" i="2" s="1"/>
  <c r="N22" i="1"/>
  <c r="H17" i="2" s="1"/>
  <c r="D69" i="5"/>
  <c r="G69" i="5" s="1"/>
  <c r="M57" i="2"/>
  <c r="N20" i="2" l="1"/>
  <c r="O21" i="5" s="1"/>
  <c r="O14" i="2"/>
  <c r="P15" i="5" s="1"/>
  <c r="N17" i="2"/>
  <c r="O18" i="5" s="1"/>
  <c r="N16" i="2"/>
  <c r="O17" i="5" s="1"/>
  <c r="N19" i="2"/>
  <c r="O20" i="5" s="1"/>
  <c r="N22" i="2"/>
  <c r="O23" i="5" s="1"/>
  <c r="N23" i="2"/>
  <c r="O24" i="5" s="1"/>
  <c r="R62" i="2"/>
  <c r="Q60" i="5" s="1"/>
  <c r="D73" i="5"/>
  <c r="I50" i="5"/>
  <c r="I52" i="5"/>
  <c r="I47" i="5"/>
  <c r="I44" i="5"/>
  <c r="R51" i="2"/>
  <c r="Q49" i="5" s="1"/>
  <c r="N32" i="2"/>
  <c r="O32" i="2" s="1"/>
  <c r="N37" i="2"/>
  <c r="O37" i="2" s="1"/>
  <c r="I49" i="5"/>
  <c r="N33" i="2"/>
  <c r="O33" i="2" s="1"/>
  <c r="N35" i="2"/>
  <c r="O35" i="2" s="1"/>
  <c r="N29" i="2"/>
  <c r="O29" i="5" s="1"/>
  <c r="N40" i="2"/>
  <c r="O40" i="2" s="1"/>
  <c r="N28" i="2"/>
  <c r="N31" i="2"/>
  <c r="O31" i="2" s="1"/>
  <c r="N39" i="2"/>
  <c r="O39" i="2" s="1"/>
  <c r="N30" i="2"/>
  <c r="N27" i="2"/>
  <c r="N36" i="2"/>
  <c r="O36" i="2" s="1"/>
  <c r="R55" i="2"/>
  <c r="H54" i="2"/>
  <c r="H49" i="2"/>
  <c r="I49" i="2" s="1"/>
  <c r="H52" i="2"/>
  <c r="H43" i="2"/>
  <c r="I43" i="2" s="1"/>
  <c r="H46" i="2"/>
  <c r="G44" i="5" s="1"/>
  <c r="R17" i="2"/>
  <c r="O17" i="2"/>
  <c r="P18" i="5" s="1"/>
  <c r="O16" i="2"/>
  <c r="P17" i="5" s="1"/>
  <c r="I40" i="2"/>
  <c r="I39" i="5"/>
  <c r="M40" i="2"/>
  <c r="L40" i="5" s="1"/>
  <c r="K40" i="5"/>
  <c r="H38" i="2"/>
  <c r="I38" i="2" s="1"/>
  <c r="S38" i="2" s="1"/>
  <c r="H39" i="2"/>
  <c r="I37" i="5"/>
  <c r="K38" i="5"/>
  <c r="M39" i="2"/>
  <c r="L39" i="5" s="1"/>
  <c r="K39" i="5"/>
  <c r="H36" i="2"/>
  <c r="I36" i="2" s="1"/>
  <c r="H37" i="2"/>
  <c r="G37" i="5" s="1"/>
  <c r="M37" i="2"/>
  <c r="L37" i="5" s="1"/>
  <c r="K37" i="5"/>
  <c r="M36" i="2"/>
  <c r="L36" i="5" s="1"/>
  <c r="K36" i="5"/>
  <c r="I36" i="5"/>
  <c r="I33" i="5"/>
  <c r="H32" i="2"/>
  <c r="I32" i="2" s="1"/>
  <c r="H33" i="2"/>
  <c r="G33" i="5" s="1"/>
  <c r="M33" i="2"/>
  <c r="L33" i="5" s="1"/>
  <c r="K33" i="5"/>
  <c r="M32" i="2"/>
  <c r="L32" i="5" s="1"/>
  <c r="K32" i="5"/>
  <c r="H35" i="2"/>
  <c r="G35" i="5" s="1"/>
  <c r="H31" i="2"/>
  <c r="G31" i="5" s="1"/>
  <c r="M31" i="2"/>
  <c r="L31" i="5" s="1"/>
  <c r="K31" i="5"/>
  <c r="I35" i="5"/>
  <c r="M29" i="2"/>
  <c r="L29" i="5" s="1"/>
  <c r="K29" i="5"/>
  <c r="L27" i="5"/>
  <c r="K27" i="5"/>
  <c r="M35" i="2"/>
  <c r="L35" i="5" s="1"/>
  <c r="K35" i="5"/>
  <c r="K29" i="2"/>
  <c r="J29" i="5" s="1"/>
  <c r="I29" i="5"/>
  <c r="J27" i="5"/>
  <c r="I27" i="5"/>
  <c r="P61" i="2"/>
  <c r="H29" i="2"/>
  <c r="I17" i="2"/>
  <c r="M30" i="2"/>
  <c r="L30" i="5" s="1"/>
  <c r="I18" i="5"/>
  <c r="I13" i="5"/>
  <c r="I20" i="5"/>
  <c r="J20" i="2"/>
  <c r="K20" i="2" s="1"/>
  <c r="L20" i="2"/>
  <c r="M28" i="2"/>
  <c r="L28" i="5" s="1"/>
  <c r="K28" i="5"/>
  <c r="I23" i="5"/>
  <c r="I19" i="5"/>
  <c r="I25" i="5"/>
  <c r="I43" i="5"/>
  <c r="I14" i="5"/>
  <c r="I24" i="5"/>
  <c r="I28" i="5"/>
  <c r="I48" i="5"/>
  <c r="I15" i="5"/>
  <c r="K20" i="5"/>
  <c r="M19" i="2"/>
  <c r="L20" i="5" s="1"/>
  <c r="H62" i="2"/>
  <c r="I62" i="2" s="1"/>
  <c r="H56" i="2"/>
  <c r="R56" i="2" s="1"/>
  <c r="H47" i="2"/>
  <c r="R47" i="2" s="1"/>
  <c r="H44" i="2"/>
  <c r="H50" i="2"/>
  <c r="R50" i="2" s="1"/>
  <c r="M11" i="2"/>
  <c r="K15" i="5"/>
  <c r="M14" i="2"/>
  <c r="H30" i="2"/>
  <c r="H28" i="2"/>
  <c r="H18" i="2"/>
  <c r="H13" i="2"/>
  <c r="H14" i="2"/>
  <c r="R14" i="2" s="1"/>
  <c r="H24" i="2"/>
  <c r="R24" i="2" s="1"/>
  <c r="H16" i="2"/>
  <c r="R16" i="2" s="1"/>
  <c r="H11" i="2"/>
  <c r="H12" i="2"/>
  <c r="H15" i="2"/>
  <c r="R15" i="2" s="1"/>
  <c r="H22" i="2"/>
  <c r="I22" i="2" s="1"/>
  <c r="H23" i="2"/>
  <c r="I23" i="2" s="1"/>
  <c r="I45" i="5"/>
  <c r="I17" i="5"/>
  <c r="K18" i="5"/>
  <c r="M17" i="2"/>
  <c r="K17" i="5"/>
  <c r="M16" i="2"/>
  <c r="K44" i="5"/>
  <c r="K50" i="5"/>
  <c r="K45" i="5"/>
  <c r="K53" i="5"/>
  <c r="K47" i="5"/>
  <c r="K12" i="5"/>
  <c r="K13" i="5"/>
  <c r="K16" i="5"/>
  <c r="K14" i="5"/>
  <c r="K25" i="5"/>
  <c r="K19" i="5"/>
  <c r="N12" i="5"/>
  <c r="J40" i="5"/>
  <c r="I40" i="5"/>
  <c r="J32" i="5"/>
  <c r="I32" i="5"/>
  <c r="J54" i="5"/>
  <c r="I54" i="5"/>
  <c r="J42" i="5"/>
  <c r="I42" i="5"/>
  <c r="M44" i="2"/>
  <c r="L43" i="5" s="1"/>
  <c r="K43" i="5"/>
  <c r="J38" i="5"/>
  <c r="I38" i="5"/>
  <c r="J31" i="5"/>
  <c r="I31" i="5"/>
  <c r="M56" i="2"/>
  <c r="K54" i="5"/>
  <c r="F21" i="5"/>
  <c r="E21" i="5"/>
  <c r="J30" i="5"/>
  <c r="I30" i="5"/>
  <c r="J53" i="5"/>
  <c r="I53" i="5"/>
  <c r="N54" i="5"/>
  <c r="M54" i="5"/>
  <c r="I12" i="5"/>
  <c r="J16" i="5"/>
  <c r="I16" i="5"/>
  <c r="T115" i="7"/>
  <c r="U116" i="7" s="1"/>
  <c r="N21" i="2" s="1"/>
  <c r="O22" i="5" s="1"/>
  <c r="D21" i="5"/>
  <c r="Q46" i="5"/>
  <c r="G40" i="5"/>
  <c r="J43" i="5"/>
  <c r="G53" i="5"/>
  <c r="H20" i="2"/>
  <c r="J13" i="5"/>
  <c r="J19" i="5"/>
  <c r="J15" i="5"/>
  <c r="N14" i="5"/>
  <c r="N50" i="5"/>
  <c r="N25" i="5"/>
  <c r="N53" i="5"/>
  <c r="N47" i="5"/>
  <c r="N16" i="5"/>
  <c r="N45" i="5"/>
  <c r="N19" i="5"/>
  <c r="M52" i="2"/>
  <c r="M50" i="2"/>
  <c r="L48" i="5" s="1"/>
  <c r="L46" i="5"/>
  <c r="M47" i="2"/>
  <c r="M55" i="2"/>
  <c r="S55" i="2" s="1"/>
  <c r="M43" i="2"/>
  <c r="M49" i="2"/>
  <c r="M46" i="2"/>
  <c r="L49" i="5"/>
  <c r="M54" i="2"/>
  <c r="L24" i="5"/>
  <c r="L23" i="5"/>
  <c r="J39" i="5"/>
  <c r="J35" i="5"/>
  <c r="J37" i="5"/>
  <c r="J36" i="5"/>
  <c r="J52" i="5"/>
  <c r="J49" i="5"/>
  <c r="J50" i="5"/>
  <c r="J34" i="5"/>
  <c r="J25" i="5"/>
  <c r="J17" i="5"/>
  <c r="J24" i="5"/>
  <c r="J20" i="5"/>
  <c r="J33" i="5"/>
  <c r="J23" i="5"/>
  <c r="J14" i="5"/>
  <c r="H19" i="2"/>
  <c r="J28" i="5"/>
  <c r="J18" i="5"/>
  <c r="G18" i="5"/>
  <c r="J47" i="5"/>
  <c r="J45" i="5"/>
  <c r="J48" i="5"/>
  <c r="J46" i="5"/>
  <c r="J44" i="5"/>
  <c r="O20" i="2" l="1"/>
  <c r="P21" i="5" s="1"/>
  <c r="O23" i="2"/>
  <c r="P24" i="5" s="1"/>
  <c r="O22" i="2"/>
  <c r="P23" i="5" s="1"/>
  <c r="O19" i="2"/>
  <c r="P20" i="5" s="1"/>
  <c r="R19" i="2"/>
  <c r="Q20" i="5" s="1"/>
  <c r="H70" i="1"/>
  <c r="O27" i="5"/>
  <c r="R27" i="2"/>
  <c r="Q27" i="5" s="1"/>
  <c r="G47" i="5"/>
  <c r="S49" i="2"/>
  <c r="R40" i="2"/>
  <c r="I54" i="2"/>
  <c r="S54" i="2" s="1"/>
  <c r="R54" i="2"/>
  <c r="Q52" i="5" s="1"/>
  <c r="R49" i="2"/>
  <c r="Q47" i="5" s="1"/>
  <c r="I52" i="2"/>
  <c r="S52" i="2" s="1"/>
  <c r="R52" i="2"/>
  <c r="Q50" i="5" s="1"/>
  <c r="R43" i="2"/>
  <c r="Q42" i="5" s="1"/>
  <c r="G42" i="5"/>
  <c r="I46" i="2"/>
  <c r="S46" i="2" s="1"/>
  <c r="R46" i="2"/>
  <c r="R20" i="2"/>
  <c r="Q21" i="5" s="1"/>
  <c r="L42" i="5"/>
  <c r="S43" i="2"/>
  <c r="S36" i="2"/>
  <c r="S40" i="2"/>
  <c r="R38" i="2"/>
  <c r="R36" i="2"/>
  <c r="R39" i="2"/>
  <c r="I39" i="2"/>
  <c r="S39" i="2" s="1"/>
  <c r="R37" i="2"/>
  <c r="I37" i="2"/>
  <c r="S37" i="2" s="1"/>
  <c r="R32" i="2"/>
  <c r="I33" i="2"/>
  <c r="S33" i="2" s="1"/>
  <c r="R33" i="2"/>
  <c r="Q33" i="5" s="1"/>
  <c r="S32" i="2"/>
  <c r="R35" i="2"/>
  <c r="I35" i="2"/>
  <c r="S35" i="2" s="1"/>
  <c r="I31" i="2"/>
  <c r="S31" i="2" s="1"/>
  <c r="R31" i="2"/>
  <c r="S17" i="2"/>
  <c r="R22" i="2"/>
  <c r="Q23" i="5" s="1"/>
  <c r="I12" i="2"/>
  <c r="S12" i="2" s="1"/>
  <c r="R12" i="2"/>
  <c r="Q13" i="5" s="1"/>
  <c r="I11" i="2"/>
  <c r="R11" i="2"/>
  <c r="Q12" i="5" s="1"/>
  <c r="R23" i="2"/>
  <c r="Q24" i="5" s="1"/>
  <c r="I29" i="2"/>
  <c r="H29" i="5" s="1"/>
  <c r="G29" i="5"/>
  <c r="R29" i="2"/>
  <c r="Q29" i="5" s="1"/>
  <c r="I30" i="2"/>
  <c r="H30" i="5" s="1"/>
  <c r="R30" i="2"/>
  <c r="I13" i="2"/>
  <c r="S13" i="2" s="1"/>
  <c r="R13" i="2"/>
  <c r="Q14" i="5" s="1"/>
  <c r="G43" i="5"/>
  <c r="R44" i="2"/>
  <c r="Q43" i="5" s="1"/>
  <c r="I18" i="2"/>
  <c r="S18" i="2" s="1"/>
  <c r="R18" i="2"/>
  <c r="Q19" i="5" s="1"/>
  <c r="I28" i="2"/>
  <c r="R28" i="2"/>
  <c r="H27" i="5"/>
  <c r="G27" i="5"/>
  <c r="L21" i="2"/>
  <c r="P68" i="2" s="1"/>
  <c r="O21" i="2"/>
  <c r="P22" i="5" s="1"/>
  <c r="I16" i="2"/>
  <c r="S16" i="2" s="1"/>
  <c r="Q17" i="5"/>
  <c r="I14" i="2"/>
  <c r="S14" i="2" s="1"/>
  <c r="Q15" i="5"/>
  <c r="I15" i="2"/>
  <c r="S15" i="2" s="1"/>
  <c r="Q16" i="5"/>
  <c r="L15" i="5"/>
  <c r="L17" i="5"/>
  <c r="L18" i="5"/>
  <c r="G13" i="5"/>
  <c r="G28" i="5"/>
  <c r="Q54" i="5"/>
  <c r="I56" i="2"/>
  <c r="S56" i="2" s="1"/>
  <c r="J21" i="2"/>
  <c r="K21" i="2" s="1"/>
  <c r="J61" i="2" s="1"/>
  <c r="L52" i="5"/>
  <c r="K21" i="5"/>
  <c r="M20" i="2"/>
  <c r="L21" i="5" s="1"/>
  <c r="G20" i="5"/>
  <c r="I19" i="2"/>
  <c r="Q25" i="5"/>
  <c r="I24" i="2"/>
  <c r="S24" i="2" s="1"/>
  <c r="G21" i="5"/>
  <c r="I20" i="2"/>
  <c r="H21" i="5" s="1"/>
  <c r="Q45" i="5"/>
  <c r="I47" i="2"/>
  <c r="G45" i="5"/>
  <c r="G16" i="5"/>
  <c r="G24" i="5"/>
  <c r="I44" i="2"/>
  <c r="S44" i="2" s="1"/>
  <c r="Q48" i="5"/>
  <c r="I50" i="2"/>
  <c r="S50" i="2" s="1"/>
  <c r="H42" i="5"/>
  <c r="L53" i="5"/>
  <c r="L54" i="5"/>
  <c r="L45" i="5"/>
  <c r="L44" i="5"/>
  <c r="L50" i="5"/>
  <c r="L47" i="5"/>
  <c r="L16" i="5"/>
  <c r="L14" i="5"/>
  <c r="L19" i="5"/>
  <c r="L25" i="5"/>
  <c r="L13" i="5"/>
  <c r="L12" i="5"/>
  <c r="J12" i="5"/>
  <c r="G30" i="5"/>
  <c r="G36" i="5"/>
  <c r="G52" i="5"/>
  <c r="D22" i="5"/>
  <c r="F22" i="5"/>
  <c r="E22" i="5"/>
  <c r="G38" i="5"/>
  <c r="G32" i="5"/>
  <c r="G48" i="5"/>
  <c r="G54" i="5"/>
  <c r="G39" i="5"/>
  <c r="Q34" i="5"/>
  <c r="G34" i="5"/>
  <c r="G50" i="5"/>
  <c r="J21" i="5"/>
  <c r="I21" i="5"/>
  <c r="G17" i="5"/>
  <c r="G19" i="5"/>
  <c r="G12" i="5"/>
  <c r="G23" i="5"/>
  <c r="G14" i="5"/>
  <c r="G15" i="5"/>
  <c r="G25" i="5"/>
  <c r="H21" i="2"/>
  <c r="U117" i="7"/>
  <c r="B130" i="7" s="1"/>
  <c r="Q18" i="5"/>
  <c r="R46" i="5"/>
  <c r="Q53" i="5"/>
  <c r="R49" i="5"/>
  <c r="H53" i="5"/>
  <c r="H18" i="5"/>
  <c r="H47" i="5"/>
  <c r="S23" i="2" l="1"/>
  <c r="R24" i="5" s="1"/>
  <c r="S19" i="2"/>
  <c r="R20" i="5" s="1"/>
  <c r="S22" i="2"/>
  <c r="R23" i="5" s="1"/>
  <c r="H44" i="5"/>
  <c r="H35" i="5"/>
  <c r="H31" i="5"/>
  <c r="H13" i="5"/>
  <c r="R21" i="2"/>
  <c r="Q22" i="5" s="1"/>
  <c r="H45" i="5"/>
  <c r="S47" i="2"/>
  <c r="R45" i="5" s="1"/>
  <c r="S11" i="2"/>
  <c r="R12" i="5" s="1"/>
  <c r="S20" i="2"/>
  <c r="R21" i="5" s="1"/>
  <c r="J22" i="5"/>
  <c r="H16" i="5"/>
  <c r="R42" i="5"/>
  <c r="G22" i="5"/>
  <c r="I21" i="2"/>
  <c r="H61" i="2" s="1"/>
  <c r="K22" i="5"/>
  <c r="M21" i="2"/>
  <c r="L22" i="5" s="1"/>
  <c r="I22" i="5"/>
  <c r="Q68" i="2"/>
  <c r="M30" i="1" s="1"/>
  <c r="N30" i="1" s="1"/>
  <c r="H12" i="5"/>
  <c r="R48" i="5"/>
  <c r="H48" i="5"/>
  <c r="H36" i="5"/>
  <c r="H28" i="5"/>
  <c r="H39" i="5"/>
  <c r="H32" i="5"/>
  <c r="R50" i="5"/>
  <c r="H50" i="5"/>
  <c r="H40" i="5"/>
  <c r="R52" i="5"/>
  <c r="H52" i="5"/>
  <c r="H33" i="5"/>
  <c r="R54" i="5"/>
  <c r="H54" i="5"/>
  <c r="R34" i="5"/>
  <c r="H34" i="5"/>
  <c r="H37" i="5"/>
  <c r="H38" i="5"/>
  <c r="R43" i="5"/>
  <c r="H43" i="5"/>
  <c r="H24" i="5"/>
  <c r="R17" i="5"/>
  <c r="H17" i="5"/>
  <c r="H23" i="5"/>
  <c r="R15" i="5"/>
  <c r="H15" i="5"/>
  <c r="R19" i="5"/>
  <c r="H19" i="5"/>
  <c r="R25" i="5"/>
  <c r="H25" i="5"/>
  <c r="R14" i="5"/>
  <c r="H14" i="5"/>
  <c r="H20" i="5"/>
  <c r="R13" i="5"/>
  <c r="R47" i="5"/>
  <c r="R18" i="5"/>
  <c r="R53" i="5"/>
  <c r="R16" i="5"/>
  <c r="L61" i="2" l="1"/>
  <c r="S21" i="2"/>
  <c r="R22" i="5" s="1"/>
  <c r="H22" i="5"/>
  <c r="G55" i="5"/>
  <c r="K55" i="5" l="1"/>
  <c r="I55" i="5"/>
  <c r="Q44" i="5"/>
  <c r="Q67" i="2"/>
  <c r="N44" i="5" l="1"/>
  <c r="M55" i="5"/>
  <c r="R44" i="5"/>
  <c r="O30" i="2" l="1"/>
  <c r="S30" i="2" s="1"/>
  <c r="O36" i="5"/>
  <c r="Q36" i="5"/>
  <c r="O29" i="2" l="1"/>
  <c r="O27" i="2"/>
  <c r="O28" i="2"/>
  <c r="S28" i="2" s="1"/>
  <c r="Q28" i="5"/>
  <c r="P36" i="5"/>
  <c r="R36" i="5"/>
  <c r="Q39" i="5"/>
  <c r="O39" i="5"/>
  <c r="O31" i="5"/>
  <c r="Q31" i="5"/>
  <c r="O33" i="5"/>
  <c r="Q30" i="5"/>
  <c r="O30" i="5"/>
  <c r="Q37" i="5"/>
  <c r="O37" i="5"/>
  <c r="Q40" i="5"/>
  <c r="O40" i="5"/>
  <c r="O32" i="5"/>
  <c r="Q32" i="5"/>
  <c r="Q35" i="5"/>
  <c r="O35" i="5"/>
  <c r="Q38" i="5"/>
  <c r="O38" i="5"/>
  <c r="O28" i="5"/>
  <c r="P31" i="5"/>
  <c r="R31" i="5"/>
  <c r="P27" i="5" l="1"/>
  <c r="S27" i="2"/>
  <c r="S29" i="2"/>
  <c r="R29" i="5" s="1"/>
  <c r="P29" i="5"/>
  <c r="N61" i="2"/>
  <c r="U61" i="2" s="1"/>
  <c r="R39" i="5"/>
  <c r="P39" i="5"/>
  <c r="P35" i="5"/>
  <c r="R35" i="5"/>
  <c r="R32" i="5"/>
  <c r="P32" i="5"/>
  <c r="R37" i="5"/>
  <c r="P37" i="5"/>
  <c r="R40" i="5"/>
  <c r="P40" i="5"/>
  <c r="P30" i="5"/>
  <c r="R30" i="5"/>
  <c r="P28" i="5"/>
  <c r="P38" i="5"/>
  <c r="R38" i="5"/>
  <c r="R33" i="5"/>
  <c r="P33" i="5"/>
  <c r="S61" i="2" l="1"/>
  <c r="R27" i="5"/>
  <c r="O55" i="5"/>
  <c r="R28" i="5"/>
  <c r="X61" i="2" l="1"/>
  <c r="R64" i="2"/>
  <c r="L3" i="2" s="1"/>
  <c r="Q55" i="5"/>
  <c r="H72" i="1" l="1"/>
  <c r="R65" i="2"/>
  <c r="Q64" i="5" s="1"/>
  <c r="Q63" i="5"/>
  <c r="J108" i="7"/>
  <c r="I108" i="7"/>
  <c r="I117" i="7" s="1"/>
  <c r="H66" i="1" s="1"/>
  <c r="F58" i="2" s="1"/>
  <c r="Q75" i="5" l="1"/>
  <c r="H73" i="1"/>
  <c r="G77" i="1" s="1"/>
  <c r="K5" i="5" l="1"/>
  <c r="Q7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torqu</author>
    <author>TerryH</author>
  </authors>
  <commentList>
    <comment ref="R11" authorId="0" shapeId="0" xr:uid="{B3047D8B-3FA8-478D-B9C3-6C537838783C}">
      <text>
        <r>
          <rPr>
            <b/>
            <sz val="9"/>
            <color indexed="81"/>
            <rFont val="Tahoma"/>
            <family val="2"/>
          </rPr>
          <t>torqu: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4" authorId="1" shapeId="0" xr:uid="{8A723C7D-14B5-4E14-BA3A-B8267E8D74C8}">
      <text>
        <r>
          <rPr>
            <b/>
            <sz val="9"/>
            <color indexed="81"/>
            <rFont val="Tahoma"/>
            <family val="2"/>
          </rPr>
          <t>TerryH: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<sst xmlns="http://schemas.openxmlformats.org/spreadsheetml/2006/main" count="1127" uniqueCount="497">
  <si>
    <t>Product</t>
  </si>
  <si>
    <t>Units</t>
  </si>
  <si>
    <t>Acres</t>
  </si>
  <si>
    <t>SRP</t>
  </si>
  <si>
    <t>CONCEPT (5.26 L)</t>
  </si>
  <si>
    <t>SENCOR (2.5 KG)</t>
  </si>
  <si>
    <t>%</t>
  </si>
  <si>
    <t>Rebate</t>
  </si>
  <si>
    <t>Enter</t>
  </si>
  <si>
    <t>Canola Trait</t>
  </si>
  <si>
    <t>Soybean Trait</t>
  </si>
  <si>
    <t>Corn Trait</t>
  </si>
  <si>
    <t>(enter the date)</t>
  </si>
  <si>
    <t>Date of Calculation:</t>
  </si>
  <si>
    <t>Name of Grower:</t>
  </si>
  <si>
    <t>8 L</t>
  </si>
  <si>
    <t>7.1 L</t>
  </si>
  <si>
    <t>Buctril M</t>
  </si>
  <si>
    <t>Delaro</t>
  </si>
  <si>
    <t>33.75 L</t>
  </si>
  <si>
    <t xml:space="preserve">EverGol Energy </t>
  </si>
  <si>
    <t>Folicur EW</t>
  </si>
  <si>
    <t>8.1 L</t>
  </si>
  <si>
    <t>Infinity</t>
  </si>
  <si>
    <t>6.7 L</t>
  </si>
  <si>
    <t xml:space="preserve">Infinity FX </t>
  </si>
  <si>
    <t>Olympus</t>
  </si>
  <si>
    <t>463 G</t>
  </si>
  <si>
    <t xml:space="preserve">Proline  </t>
  </si>
  <si>
    <t>5.1 L</t>
  </si>
  <si>
    <t xml:space="preserve">Prosaro XTR </t>
  </si>
  <si>
    <t>6.5 L</t>
  </si>
  <si>
    <t xml:space="preserve">Puma Advance </t>
  </si>
  <si>
    <t>8.25 L</t>
  </si>
  <si>
    <t>10 L</t>
  </si>
  <si>
    <t>2.5 KG</t>
  </si>
  <si>
    <t>Stress Shield 600</t>
  </si>
  <si>
    <t>27 L</t>
  </si>
  <si>
    <t>Thumper</t>
  </si>
  <si>
    <t>Trilex EverGol</t>
  </si>
  <si>
    <t>Tundra</t>
  </si>
  <si>
    <t>Varro</t>
  </si>
  <si>
    <t>Velocity M3</t>
  </si>
  <si>
    <t>Concept</t>
  </si>
  <si>
    <t>Segment Savings</t>
  </si>
  <si>
    <t>Stress Shield + Raxil Pro</t>
  </si>
  <si>
    <t>Stress Shield + Trilex EverGol</t>
  </si>
  <si>
    <t>Seed Treatment Segment Acres</t>
  </si>
  <si>
    <t>Segment Qualified?</t>
  </si>
  <si>
    <t>Herbicide Segment Acres</t>
  </si>
  <si>
    <t>Fungicide Segment Acres</t>
  </si>
  <si>
    <t>Total Rewards</t>
  </si>
  <si>
    <t>Product Brand</t>
  </si>
  <si>
    <t>Acres/Package</t>
  </si>
  <si>
    <t>Herbicide</t>
  </si>
  <si>
    <t>Fungicide</t>
  </si>
  <si>
    <t>Seed Treatment</t>
  </si>
  <si>
    <t>BrandName</t>
  </si>
  <si>
    <t>Package Name</t>
  </si>
  <si>
    <t>Is BaseUnit?</t>
  </si>
  <si>
    <t>Conversion Factor</t>
  </si>
  <si>
    <t>Brand Base Unit</t>
  </si>
  <si>
    <t>Brand Acre</t>
  </si>
  <si>
    <t>Brand Value</t>
  </si>
  <si>
    <t>Brand</t>
  </si>
  <si>
    <t>Date of</t>
  </si>
  <si>
    <t>to Base Units</t>
  </si>
  <si>
    <t>Equivalents</t>
  </si>
  <si>
    <t xml:space="preserve">Row </t>
  </si>
  <si>
    <t>Name</t>
  </si>
  <si>
    <t>Update</t>
  </si>
  <si>
    <t>yes = 1, no = 0</t>
  </si>
  <si>
    <t>(calculate)</t>
  </si>
  <si>
    <t>Num</t>
  </si>
  <si>
    <t>BUCTRIL M</t>
  </si>
  <si>
    <t>Y</t>
  </si>
  <si>
    <t>N</t>
  </si>
  <si>
    <t>CONCEPT</t>
  </si>
  <si>
    <t>DELARO</t>
  </si>
  <si>
    <t>EVERGOL ENERGY</t>
  </si>
  <si>
    <t>FOLICUR EW</t>
  </si>
  <si>
    <t>INFINITY</t>
  </si>
  <si>
    <t>INFINITY FX</t>
  </si>
  <si>
    <t>LUXXUR</t>
  </si>
  <si>
    <t>OLYMPUS</t>
  </si>
  <si>
    <t>PARDNER</t>
  </si>
  <si>
    <t>PROLINE</t>
  </si>
  <si>
    <t>PROSARO XTR</t>
  </si>
  <si>
    <t>PUMA ADVANCE</t>
  </si>
  <si>
    <t>RAXIL PRO</t>
  </si>
  <si>
    <t>RAXIL PRO SHIELD</t>
  </si>
  <si>
    <t>SENCOR</t>
  </si>
  <si>
    <t>STRESS SHIELD</t>
  </si>
  <si>
    <t>THUMPER</t>
  </si>
  <si>
    <t>TRILEX EVERGOL</t>
  </si>
  <si>
    <t>TRILEX EVERGOL SHIELD</t>
  </si>
  <si>
    <t>TUNDRA</t>
  </si>
  <si>
    <t>VARRO</t>
  </si>
  <si>
    <t>Totals</t>
  </si>
  <si>
    <t>Base Unit Equivalents</t>
  </si>
  <si>
    <t>Total Crop Protection Purchases</t>
  </si>
  <si>
    <t>with Raxil Pro</t>
  </si>
  <si>
    <t>Matching Acres Stress Shield</t>
  </si>
  <si>
    <t>LeftOver Acres Stress Shield</t>
  </si>
  <si>
    <t>with TrilexEverGol</t>
  </si>
  <si>
    <t>xx</t>
  </si>
  <si>
    <t>Number of Segments Qualifying</t>
  </si>
  <si>
    <t>ADMIRE</t>
  </si>
  <si>
    <t>ALIETTE</t>
  </si>
  <si>
    <t>BETAMIX B</t>
  </si>
  <si>
    <t>EMESTO SILVER</t>
  </si>
  <si>
    <t>MOVENTO</t>
  </si>
  <si>
    <t>SIVANTO PRIME</t>
  </si>
  <si>
    <t>SENCOR 75 DF</t>
  </si>
  <si>
    <t>LUNA TRANQUILITY</t>
  </si>
  <si>
    <t>SCALA</t>
  </si>
  <si>
    <t>VELUM PRIME</t>
  </si>
  <si>
    <t>REASON</t>
  </si>
  <si>
    <t>SERENADE SOIL</t>
  </si>
  <si>
    <t>NORTRON</t>
  </si>
  <si>
    <t>Scroll Up for more products -----&gt;&gt;&gt;&gt;</t>
  </si>
  <si>
    <t xml:space="preserve"> </t>
  </si>
  <si>
    <t>Admire</t>
  </si>
  <si>
    <t>Aliette</t>
  </si>
  <si>
    <t>Emesto Silver</t>
  </si>
  <si>
    <t>Nortron</t>
  </si>
  <si>
    <t>Movento</t>
  </si>
  <si>
    <t>2 L</t>
  </si>
  <si>
    <t>Reason</t>
  </si>
  <si>
    <t>Scala</t>
  </si>
  <si>
    <t>9.46 L</t>
  </si>
  <si>
    <t>Sivanto Prime</t>
  </si>
  <si>
    <t>4.04 L</t>
  </si>
  <si>
    <t>Velum Prime</t>
  </si>
  <si>
    <t>Luna Tranquility</t>
  </si>
  <si>
    <t>Serenade Soil</t>
  </si>
  <si>
    <t>Sencor DF</t>
  </si>
  <si>
    <t>BetamixB</t>
  </si>
  <si>
    <t>4.86 L</t>
  </si>
  <si>
    <t>(from previous tab)</t>
  </si>
  <si>
    <t>UOM</t>
  </si>
  <si>
    <t>sub-total</t>
  </si>
  <si>
    <t>REASON (2 L)</t>
  </si>
  <si>
    <t>BETAMIX B (10 L)</t>
  </si>
  <si>
    <t>ALIETTE WDG (2.26 KG)</t>
  </si>
  <si>
    <t>NORTRON SC (10 L)</t>
  </si>
  <si>
    <t>OLYMPUS SG70 (463G JUG)</t>
  </si>
  <si>
    <t>Canola Trait (22.7 KG bag)</t>
  </si>
  <si>
    <t xml:space="preserve">Product is </t>
  </si>
  <si>
    <t>Obsolete?</t>
  </si>
  <si>
    <t>Questions/Comments?</t>
  </si>
  <si>
    <t>VARRO (128 L)</t>
  </si>
  <si>
    <t>Region</t>
  </si>
  <si>
    <t>West</t>
  </si>
  <si>
    <t>XTENDIMAX</t>
  </si>
  <si>
    <t>Special Consideration - Hort AND Row Crop Products "the Additional Payment Products"</t>
  </si>
  <si>
    <t>ROUNDUP XTEND</t>
  </si>
  <si>
    <t>Deduct from payment dollars for the 1 % Volume Bonus because these products have values below $1500 each.</t>
  </si>
  <si>
    <t>Deduct Sencor value from qualifing dollars contribution FOR THE 1 % threshold contribution for the Volume Bonus because Emesto Silver acres are less than 300.</t>
  </si>
  <si>
    <t>Stress Shield</t>
  </si>
  <si>
    <t>Total Stress Shield acres matched</t>
  </si>
  <si>
    <t>OptionAcres</t>
  </si>
  <si>
    <t>OptionUnits</t>
  </si>
  <si>
    <t>Chosen Acres or Units entry?</t>
  </si>
  <si>
    <t>Yes/No</t>
  </si>
  <si>
    <t>Summarized to Smallest Saleable Package</t>
  </si>
  <si>
    <t>Product Value</t>
  </si>
  <si>
    <t>@SRP</t>
  </si>
  <si>
    <t>Equivalents @SRP</t>
  </si>
  <si>
    <t>Product Base Unit Equivalent (calculate)</t>
  </si>
  <si>
    <t xml:space="preserve">Rebate Summary By Program and Brand </t>
  </si>
  <si>
    <t>Total  Canola Trait Acres</t>
  </si>
  <si>
    <t>Total  DEKALB Canola Trait Acres</t>
  </si>
  <si>
    <t>Total  Corn Trait Acres</t>
  </si>
  <si>
    <t>Total  DEKALB Corn Trait Acres</t>
  </si>
  <si>
    <t>Total  Soybean Trait Acres</t>
  </si>
  <si>
    <t>Total  DEKALB Soybean Trait Acres</t>
  </si>
  <si>
    <t>Amount of Stress Shield to deduct from overall Crop Protection purchases for that part that does not match with Raxil Pro and/or Trilex EverGol, for 1 % payment and/or SS is less than $1500.00 in value.</t>
  </si>
  <si>
    <t>Source SRP and filename:</t>
  </si>
  <si>
    <t>Other Comments/Observations</t>
  </si>
  <si>
    <t>&lt;&lt;&lt;&lt;-- Scroll Down for more products  &lt;&lt;&lt;</t>
  </si>
  <si>
    <t>Total Acres</t>
  </si>
  <si>
    <t>% Rebate</t>
  </si>
  <si>
    <t>Pardner</t>
  </si>
  <si>
    <t>Sencor 75 DF</t>
  </si>
  <si>
    <t>3 L</t>
  </si>
  <si>
    <t>3.785 L</t>
  </si>
  <si>
    <t>Acres or Units ? (calculate/switches)</t>
  </si>
  <si>
    <t>Data Entry - Acres OR Units?  (switches)</t>
  </si>
  <si>
    <t>PROLINE GOLD</t>
  </si>
  <si>
    <t>ROUNDUP WEATHERMAX</t>
  </si>
  <si>
    <t>VAYEGO</t>
  </si>
  <si>
    <t>Obsolete section, used in 2019 only.</t>
  </si>
  <si>
    <t>Seed Trait, Seed and Seed Treatment Purchases, Current for 2020</t>
  </si>
  <si>
    <t>Crop - Hybrid - Seed Treatment Chosen dfrom Drop-Down</t>
  </si>
  <si>
    <t>TILMOR</t>
  </si>
  <si>
    <t>Product Type</t>
  </si>
  <si>
    <t>Insecticide</t>
  </si>
  <si>
    <t>Crop Trait</t>
  </si>
  <si>
    <t>1 L</t>
  </si>
  <si>
    <t>2.26 KG</t>
  </si>
  <si>
    <t>128 L</t>
  </si>
  <si>
    <t>400 L</t>
  </si>
  <si>
    <t>5.26 L</t>
  </si>
  <si>
    <t>113.6 L</t>
  </si>
  <si>
    <t>3.85 L</t>
  </si>
  <si>
    <t>107.2 L</t>
  </si>
  <si>
    <t>335 L</t>
  </si>
  <si>
    <t xml:space="preserve"> (13.4L + 6.48L)</t>
  </si>
  <si>
    <t>405 L</t>
  </si>
  <si>
    <t>129.6 L</t>
  </si>
  <si>
    <t xml:space="preserve"> (8L + 243g)</t>
  </si>
  <si>
    <t>104 L</t>
  </si>
  <si>
    <t>123.75 L</t>
  </si>
  <si>
    <t>412.5 L</t>
  </si>
  <si>
    <t>58.5 L</t>
  </si>
  <si>
    <t>175.5 L</t>
  </si>
  <si>
    <t>1000 L</t>
  </si>
  <si>
    <t>(10L + 1.54L)</t>
  </si>
  <si>
    <t>511 L</t>
  </si>
  <si>
    <t>6.07 L</t>
  </si>
  <si>
    <t>(1.5L+0.96L)</t>
  </si>
  <si>
    <t>(6.49L + 4.15L)</t>
  </si>
  <si>
    <t>(1.5L+0.96L+6.25L)</t>
  </si>
  <si>
    <t>22.7 KG</t>
  </si>
  <si>
    <t>a control check:</t>
  </si>
  <si>
    <t>Received:</t>
  </si>
  <si>
    <t>Qualifying Segments of 300 acres or more</t>
  </si>
  <si>
    <t>ROUNDUP WEATHERMAX (115 L)</t>
  </si>
  <si>
    <t>ROUNDUP WEATHERMAX (450 L)</t>
  </si>
  <si>
    <t>ROUNDUP WEATHERMAX (800 L)</t>
  </si>
  <si>
    <t>115 L</t>
  </si>
  <si>
    <t>450 L</t>
  </si>
  <si>
    <t>800 L</t>
  </si>
  <si>
    <t>10.12 L</t>
  </si>
  <si>
    <t>1 X Unit ( 140,000 seeds)</t>
  </si>
  <si>
    <t>Corn Trait (1 X Unit 80,000 seeds)</t>
  </si>
  <si>
    <t>MOVENTO (1 L)</t>
  </si>
  <si>
    <t>Soybean Trait (1 X Unit 140,000 seeds)</t>
  </si>
  <si>
    <t>1 X Unit ( 80,000 seeds)</t>
  </si>
  <si>
    <t>Roundup WeatherMAX</t>
  </si>
  <si>
    <t>Package Size Definition</t>
  </si>
  <si>
    <t>Package Size</t>
  </si>
  <si>
    <t>JUG</t>
  </si>
  <si>
    <t>TOTE</t>
  </si>
  <si>
    <t>DRUM</t>
  </si>
  <si>
    <t>ADMIRE (1 L)</t>
  </si>
  <si>
    <t>INFINITY FX (13.4L+6.48L)</t>
  </si>
  <si>
    <t xml:space="preserve">ADMIRE® (3.785L) </t>
  </si>
  <si>
    <t xml:space="preserve">DELARO® (113.6L) </t>
  </si>
  <si>
    <t>EMESTO® SILVER (3.85L)</t>
  </si>
  <si>
    <t>EVERGOL® ENERGY (33.75L)</t>
  </si>
  <si>
    <t xml:space="preserve">FOLICUR® EW (8.1L) </t>
  </si>
  <si>
    <t xml:space="preserve">LUNA TRANQUILITY® (2L) </t>
  </si>
  <si>
    <t>LUXXUR® (8L+243GR)</t>
  </si>
  <si>
    <t xml:space="preserve">MOVENTO® (2L) </t>
  </si>
  <si>
    <t xml:space="preserve">OLYMPUS® (463G) </t>
  </si>
  <si>
    <t xml:space="preserve">PARDNER® (8L) </t>
  </si>
  <si>
    <t xml:space="preserve">PROLINE® (5.1L) </t>
  </si>
  <si>
    <t xml:space="preserve">PROSARO® XTR (104L) </t>
  </si>
  <si>
    <t xml:space="preserve">RAXIL® PRO (10L) </t>
  </si>
  <si>
    <t>ROUNDUP WEATHERMAX® (10L)</t>
  </si>
  <si>
    <t xml:space="preserve">STRESS SHIELD® (27L) </t>
  </si>
  <si>
    <t xml:space="preserve">VAYEGO® (3L) </t>
  </si>
  <si>
    <t>PROSARO PRO</t>
  </si>
  <si>
    <t>LAUDIS</t>
  </si>
  <si>
    <t>Laudis</t>
  </si>
  <si>
    <t>Rebate Calculator</t>
  </si>
  <si>
    <t>Seed Treatments Segment</t>
  </si>
  <si>
    <t>Herbicides Segment</t>
  </si>
  <si>
    <t>Fungicides Segment</t>
  </si>
  <si>
    <t>3.6 L</t>
  </si>
  <si>
    <t>Stress Shield (matching with Trilex EverGol)</t>
  </si>
  <si>
    <t>CIRRAY</t>
  </si>
  <si>
    <t>BUCTRIL®  M (128 L)</t>
  </si>
  <si>
    <t>BUCTRIL®  M (8 L)</t>
  </si>
  <si>
    <t>BUCTRIL®  M (400 L)</t>
  </si>
  <si>
    <t>DELARO®  (7.1 L)</t>
  </si>
  <si>
    <t>INFINITY®  (107.2 L)</t>
  </si>
  <si>
    <t>INFINITY®  (335 L)</t>
  </si>
  <si>
    <t>INFINITY®  FX (8.1 L)</t>
  </si>
  <si>
    <t>INFINITY®  FX  (129.6 L)</t>
  </si>
  <si>
    <t>INFINITY®  FX  (405 L)</t>
  </si>
  <si>
    <t>LAUDIS®  (3.6 L)</t>
  </si>
  <si>
    <t>LUNA TRANQUILITY® (4.86L)</t>
  </si>
  <si>
    <t>PARDNER®  (128L)</t>
  </si>
  <si>
    <t>PROLINE®  GOLD (10.12 L)</t>
  </si>
  <si>
    <t>PROSARO®  PRO (6.07 L)</t>
  </si>
  <si>
    <t>PROSARO®  XTR (6.5 L)</t>
  </si>
  <si>
    <t>PUMA®  ADVANCE (123.75 L)</t>
  </si>
  <si>
    <t>PUMA®  ADVANCE (412.5 L)</t>
  </si>
  <si>
    <t>RAXIL®  PRO (58.5 L)</t>
  </si>
  <si>
    <t>RAXIL®  PRO (175.5 L)</t>
  </si>
  <si>
    <t>RAXIL®  PRO (1000 L)</t>
  </si>
  <si>
    <t>RAXIL®  PRO SHIELD (10 L + 1.54 L)</t>
  </si>
  <si>
    <t>SCALA®  (2 L)</t>
  </si>
  <si>
    <t>SCALA®  (6.07 L)</t>
  </si>
  <si>
    <t>SENCOR®  75DF (2.5 KG )</t>
  </si>
  <si>
    <t>SIVANTO®  PRIME (2 L)</t>
  </si>
  <si>
    <t>THUMPER®  (128 L)</t>
  </si>
  <si>
    <t>THUMPER®  (8 L)</t>
  </si>
  <si>
    <t>THUMPER®  (400L)</t>
  </si>
  <si>
    <t>TRILEX®  EVERGOL®  (1.5 L + 0.96 L)</t>
  </si>
  <si>
    <t>TRILEX®  EVERGOL®  (6.49 L + 4.15 L)</t>
  </si>
  <si>
    <t>PUMA®  ADVANCE (8.25 L)</t>
  </si>
  <si>
    <t>VARRO®  (8 L)</t>
  </si>
  <si>
    <t>TUNDRA®  (8.1 L)</t>
  </si>
  <si>
    <t>TUNDRA®  (129.6 L)</t>
  </si>
  <si>
    <t>TUNDRA®  (405 L)</t>
  </si>
  <si>
    <t>VELUM®  PRIME (4.04 L)</t>
  </si>
  <si>
    <t>INFINITY®  (6.7 L)</t>
  </si>
  <si>
    <t>SERENADE®  SOIL (9.46 L)</t>
  </si>
  <si>
    <t>SERENADE®  SOIL (511 L)</t>
  </si>
  <si>
    <t>6.8 L</t>
  </si>
  <si>
    <t>103.6 L</t>
  </si>
  <si>
    <t>(103.6 L)</t>
  </si>
  <si>
    <t>CIRRAY™ (103.6 L)</t>
  </si>
  <si>
    <t>Alias1</t>
  </si>
  <si>
    <t>Alias2</t>
  </si>
  <si>
    <t>Alias3</t>
  </si>
  <si>
    <t>Cirray</t>
  </si>
  <si>
    <t>PROSARO® PRO (97.17 L)</t>
  </si>
  <si>
    <t>97.17 L</t>
  </si>
  <si>
    <t>MINUET®</t>
  </si>
  <si>
    <t>Total BayerValue™ Rebate</t>
  </si>
  <si>
    <t>Enrolled in Hot Potatoes ?</t>
  </si>
  <si>
    <t>Stress Shield + EverGol Energy</t>
  </si>
  <si>
    <t>from Raxil Pro</t>
  </si>
  <si>
    <t>from Trilex EverGol</t>
  </si>
  <si>
    <t>with EverGol Energy</t>
  </si>
  <si>
    <t>Stress Shield (matching with EverGol Energy)</t>
  </si>
  <si>
    <t>Seed Treatments are 500 acres or more, qualifies for the Seed Treatment Rewards</t>
  </si>
  <si>
    <t>Seed Treatment Rewards</t>
  </si>
  <si>
    <t>Minuet</t>
  </si>
  <si>
    <r>
      <t>BayerValue</t>
    </r>
    <r>
      <rPr>
        <sz val="11"/>
        <color theme="1"/>
        <rFont val="Calibri"/>
        <family val="2"/>
      </rPr>
      <t>™</t>
    </r>
    <r>
      <rPr>
        <sz val="11"/>
        <color theme="1"/>
        <rFont val="Calibri"/>
        <family val="2"/>
        <scheme val="minor"/>
      </rPr>
      <t xml:space="preserve"> Rewards</t>
    </r>
  </si>
  <si>
    <t>Emesto Silver Bonus</t>
  </si>
  <si>
    <t>RGB(29, 28, 84) test</t>
  </si>
  <si>
    <t>MINUET® (3.78 L)</t>
  </si>
  <si>
    <t>3.78 L</t>
  </si>
  <si>
    <t>Hot Potatoes Rewards</t>
  </si>
  <si>
    <t>RAXIL®  PRO SHIELD ALL IN ONE (10 L)</t>
  </si>
  <si>
    <t>Brand and Segment</t>
  </si>
  <si>
    <t>Eligible traits are 500 acres or more AND qualifies for the Trait Bonus</t>
  </si>
  <si>
    <t>RAXIL®  PRO SHIELD ALL IN ONE (125 L)</t>
  </si>
  <si>
    <t>125 L</t>
  </si>
  <si>
    <t>FUNGICIDES</t>
  </si>
  <si>
    <t>HERBICIDES</t>
  </si>
  <si>
    <t>TOTAL ACRES =</t>
  </si>
  <si>
    <t>Serenade SOIL</t>
  </si>
  <si>
    <t>Proline  GOLD</t>
  </si>
  <si>
    <t>Trilex EverGol SHIELD</t>
  </si>
  <si>
    <t>Prosaro PRO</t>
  </si>
  <si>
    <t>Stress Shield (matching with Raxil PRO)</t>
  </si>
  <si>
    <t>Raxil PRO</t>
  </si>
  <si>
    <t>Enrolled in IBO?</t>
  </si>
  <si>
    <t>EMESTO® COMPLETE</t>
  </si>
  <si>
    <t>New for 2024</t>
  </si>
  <si>
    <t>DELARO® COMPLETE (7.1 L)</t>
  </si>
  <si>
    <t>DELARO® COMPLETE</t>
  </si>
  <si>
    <t>VARRO® FX  (8 L)</t>
  </si>
  <si>
    <t>VARRO® FX</t>
  </si>
  <si>
    <t>VELUM®  RISE</t>
  </si>
  <si>
    <t>Qualifies for HP Emesto Silver/Complete Bonus</t>
  </si>
  <si>
    <t>Delaro Complete</t>
  </si>
  <si>
    <t>Emesto Complete</t>
  </si>
  <si>
    <t>Varro FX</t>
  </si>
  <si>
    <t>Velum Rise</t>
  </si>
  <si>
    <t>Enrolled in FieldView?</t>
  </si>
  <si>
    <t>Overall % Savings BayerValue Rewards</t>
  </si>
  <si>
    <t>RGB(0,32, 96) test</t>
  </si>
  <si>
    <t>&lt;  &gt;</t>
  </si>
  <si>
    <t>RGB(27,157,33)</t>
  </si>
  <si>
    <t>TEST COLOR SCHEMES</t>
  </si>
  <si>
    <t>SRP's for 2024 verified against this list.</t>
  </si>
  <si>
    <t>(6.48 L)</t>
  </si>
  <si>
    <t>CIRRAY™ (6.48 L)</t>
  </si>
  <si>
    <t>122.38 L</t>
  </si>
  <si>
    <t>VARRO® FX (129.6 L)</t>
  </si>
  <si>
    <t>DELARO® COMPLETE (113.8 L)</t>
  </si>
  <si>
    <t>EMESTO® COMPLETE (2x2.9L+0.7L+0.31L)</t>
  </si>
  <si>
    <t>2x2.9L+0.7L+0.31L</t>
  </si>
  <si>
    <t>LEAVE IN 2023/24 CALC FOR NOW</t>
  </si>
  <si>
    <t>SEED TRT CHK</t>
  </si>
  <si>
    <t>HERB TRT CHK</t>
  </si>
  <si>
    <t>FUNG TRT CHK</t>
  </si>
  <si>
    <t xml:space="preserve">XTENDIMAX® 2 </t>
  </si>
  <si>
    <t>XTENDIMAX 2</t>
  </si>
  <si>
    <t>ROUNDUP XTEND 2</t>
  </si>
  <si>
    <t>TILMOR®    (10.12 L)</t>
  </si>
  <si>
    <r>
      <t>Incredible Bayer Offer</t>
    </r>
    <r>
      <rPr>
        <b/>
        <sz val="11"/>
        <color theme="0"/>
        <rFont val="Calibri"/>
        <family val="2"/>
      </rPr>
      <t>™</t>
    </r>
  </si>
  <si>
    <t>Roundup Xtend/Xtend 2</t>
  </si>
  <si>
    <t>XtendiMax/XtendiMax 2</t>
  </si>
  <si>
    <t>ROUNDUP XTEND® WITH VAPORGRIP® TECHNOLOGY (450 L)</t>
  </si>
  <si>
    <t>ROUNDUP XTEND® 2 WITH VAPORGRIP® TECHNOLOGY (450 L)</t>
  </si>
  <si>
    <t>XTENDIMAX® WITH VAPORGRIP® TECHNOLOGY (450 L)</t>
  </si>
  <si>
    <t>XTENDIMAX® 2 WITH VAPORGRIP® TECHNOLOGY (10 L)</t>
  </si>
  <si>
    <t>XTENDIMAX® 2 WITH VAPORGRIP® TECHNOLOGY (450 L)</t>
  </si>
  <si>
    <t>XTENDIMAX® 2 WITH VAPORGRIP® TECHNOLOGY (122.38 L)</t>
  </si>
  <si>
    <t>ROUNDUP XTEND® WITH VAPORGRIP® TECHNOLOGY (10 L)</t>
  </si>
  <si>
    <t>ROUNDUP XTEND® 2 WITH VAPORGRIP® TECHNOLOGY (10 L)</t>
  </si>
  <si>
    <t>XTENDIMAX® WITH VAPORGRIP® TECHNOLOGY (10 L)</t>
  </si>
  <si>
    <r>
      <t>Incredible Bayer Offer</t>
    </r>
    <r>
      <rPr>
        <sz val="11"/>
        <color theme="1"/>
        <rFont val="Calibri"/>
        <family val="2"/>
      </rPr>
      <t>™</t>
    </r>
  </si>
  <si>
    <t>TRILEX® EVERGOL® SHIELD (1.5 L + 0.96 L + 6.25 L)</t>
  </si>
  <si>
    <t>VELUM® RISE (8.1 L)</t>
  </si>
  <si>
    <t>Qualifies for The Incredible Bayer Offer™</t>
  </si>
  <si>
    <t>*A grower qualifies for a FieldView rewards rebate under these terms:  A FieldView subscription must be Active and the BayerValue™ Rewards rebate must be greater than $0.00. If qualified, the rebate is equal to 50 % of the FieldView subscription price.</t>
  </si>
  <si>
    <t>TilMOR</t>
  </si>
  <si>
    <t>Active FieldView™ subscription?</t>
  </si>
  <si>
    <t>Emesto Bonus</t>
  </si>
  <si>
    <t>Trait Rewards</t>
  </si>
  <si>
    <t>Emesto® Complete + Emesto® Silver is 500 acres or more</t>
  </si>
  <si>
    <t>``</t>
  </si>
  <si>
    <t>vayego</t>
  </si>
  <si>
    <t>2025 BayerValue™ Rebate Calculator</t>
  </si>
  <si>
    <r>
      <t>2025 BayerValue</t>
    </r>
    <r>
      <rPr>
        <sz val="11"/>
        <color theme="1"/>
        <rFont val="Calibri"/>
        <family val="2"/>
      </rPr>
      <t>™</t>
    </r>
  </si>
  <si>
    <t>for Western Canada - for Estimate Purposes Only Version 25.10P</t>
  </si>
  <si>
    <r>
      <t>Enrolled in Incredible Bayer Offer</t>
    </r>
    <r>
      <rPr>
        <b/>
        <sz val="11"/>
        <color theme="0" tint="-0.499984740745262"/>
        <rFont val="Calibri"/>
        <family val="2"/>
      </rPr>
      <t>™</t>
    </r>
    <r>
      <rPr>
        <b/>
        <sz val="11"/>
        <color theme="0" tint="-0.499984740745262"/>
        <rFont val="Calibri"/>
        <family val="2"/>
        <scheme val="minor"/>
      </rPr>
      <t xml:space="preserve"> before Mar 14, 2025?</t>
    </r>
  </si>
  <si>
    <t>Enrolled in SummerSizzler?</t>
  </si>
  <si>
    <t>BayerValue Price</t>
  </si>
  <si>
    <t>SEED TRAITS</t>
  </si>
  <si>
    <t>CANOLA SEED</t>
  </si>
  <si>
    <t>CORN SEED</t>
  </si>
  <si>
    <t>SOYBEAN SEED</t>
  </si>
  <si>
    <t>DEKALB CANOLA SEED BOOKED</t>
  </si>
  <si>
    <t>DEKALB CANOLA SEED PURCHASED</t>
  </si>
  <si>
    <t>TOTAL TRAIT ACRES =</t>
  </si>
  <si>
    <t>BayerValue Price/22.7 KG Applied</t>
  </si>
  <si>
    <t>Key Summary Benchmarks</t>
  </si>
  <si>
    <t>Pre-Burn Tank-Mix Bonus</t>
  </si>
  <si>
    <t>New for 2025</t>
  </si>
  <si>
    <t>Payable Pre-Burn Tank-Mix Acres</t>
  </si>
  <si>
    <t>Qualifies for Pre-Burn Tank-Mix Bonus</t>
  </si>
  <si>
    <t>Qualifies for Trait Rewards</t>
  </si>
  <si>
    <t>TEST FORMULA'S</t>
  </si>
  <si>
    <t>a cross-check</t>
  </si>
  <si>
    <t>ROUNDUP TRANSORB® HC (10 L)</t>
  </si>
  <si>
    <t>ROUNDUP TRANSORB® HC (115 L)</t>
  </si>
  <si>
    <t>ROUNDUP TRANSORB® HC (450 L)</t>
  </si>
  <si>
    <t>ROUNDUP TRANSORB® HC</t>
  </si>
  <si>
    <t>The Incredible Bayer Offer™ Acres - Seed Treatments</t>
  </si>
  <si>
    <t>The Incredible Bayer Offer™ Acres - Herbicides</t>
  </si>
  <si>
    <t>TOTAL PAYABLE Pre-Burn Acres</t>
  </si>
  <si>
    <t>Velocity and Tundra are all-in-one products and will be counted as 2X for the qualification acres for the Incredible Bayer Offer only. Velocity and Tundra will be counted as 1X for Herbicide Segment qualification.</t>
  </si>
  <si>
    <t>IBO Acres Herbicide</t>
  </si>
  <si>
    <t>IBO Acres Seed Treatments</t>
  </si>
  <si>
    <t>Extra space for future brand additions</t>
  </si>
  <si>
    <t>Roundup Transorb HC</t>
  </si>
  <si>
    <t>Huskie Pre</t>
  </si>
  <si>
    <t>HUSKIE PRE® (8.1 L)</t>
  </si>
  <si>
    <t>HUSKIE PRE® (129.6 L)</t>
  </si>
  <si>
    <t>HUSKIE PRE® (405 L)</t>
  </si>
  <si>
    <t>HUSKIE PRE®</t>
  </si>
  <si>
    <t>Qualifies for Pre-Burn TMX Acres</t>
  </si>
  <si>
    <t>QualifySwitch</t>
  </si>
  <si>
    <t>@ $1.00/acre</t>
  </si>
  <si>
    <t>&gt;&gt;&gt;&gt;</t>
  </si>
  <si>
    <t xml:space="preserve">Total Crop Protection Purchases </t>
  </si>
  <si>
    <t xml:space="preserve">Total Seed Treatment Acres </t>
  </si>
  <si>
    <t>FieldView™ Rewards Rebate</t>
  </si>
  <si>
    <t>Pardner, Olympus, Huskie Pre</t>
  </si>
  <si>
    <t>BAG</t>
  </si>
  <si>
    <t>Total Crop Trait Acreage</t>
  </si>
  <si>
    <r>
      <t>BayerValue</t>
    </r>
    <r>
      <rPr>
        <sz val="14"/>
        <color theme="0"/>
        <rFont val="Calibri"/>
        <family val="2"/>
      </rPr>
      <t>™</t>
    </r>
    <r>
      <rPr>
        <sz val="14"/>
        <color theme="0"/>
        <rFont val="Calibri"/>
        <family val="2"/>
        <scheme val="minor"/>
      </rPr>
      <t xml:space="preserve"> Segment Totals</t>
    </r>
  </si>
  <si>
    <t>RGB(56,96,146)</t>
  </si>
  <si>
    <t>RGB(0,112,192)</t>
  </si>
  <si>
    <t>RGB(21,121,26)</t>
  </si>
  <si>
    <t>ROUNDUP TRANSORB® HC (800 L)</t>
  </si>
  <si>
    <t>Raxil PRO SHIELD/All-In-One</t>
  </si>
  <si>
    <t>2025</t>
  </si>
  <si>
    <t>VELOCITY® M3 ALL-IN-ONE (8.1 L )</t>
  </si>
  <si>
    <t>VELOCITY® M3 ALL-IN-ONE (129.6 L)</t>
  </si>
  <si>
    <t>2025 BayerValue West Crop Protection Price List 1.pdf</t>
  </si>
  <si>
    <t>dated: Nov 1, 2025</t>
  </si>
  <si>
    <t>2025 East Price</t>
  </si>
  <si>
    <t>2026 East Price</t>
  </si>
  <si>
    <t>2027 East Price</t>
  </si>
  <si>
    <t>2028 East Price</t>
  </si>
  <si>
    <t>none</t>
  </si>
  <si>
    <t>from the official 2025 Bayer Price List as name listed above.</t>
  </si>
  <si>
    <t>VELOCITY ALL-IN-ONE</t>
  </si>
  <si>
    <t>Price of a FieldView subscription:</t>
  </si>
  <si>
    <t>Means these acre conversions have been verified with the BV West Program description for the year 2025 using the same numbers as used in 2024.</t>
  </si>
  <si>
    <t>Same as in 2024</t>
  </si>
  <si>
    <t>NOT IN 2023/24/25 BV</t>
  </si>
  <si>
    <t>SEED TREATMENTS AND INSECTCIDES</t>
  </si>
  <si>
    <t>Enrolled in DEKALB SUMMER SIZZLER™ Offer?</t>
  </si>
  <si>
    <t>TOTAL ACRES OF DEKALB CANOLA, CORN AND SOYBEAN SEED EARLY BOOKED</t>
  </si>
  <si>
    <t>Enter acres only for the two boxes to the left.</t>
  </si>
  <si>
    <t>For Raxil PRO SHIELD and Trilex EverGol SHIELD acres count as 2X for qualification purposes. Stress SHIELD is a qualification product  but is paid only on matching acres with Raxil PRO and/or Trilex and/or EverGol Energy.  The same applies to the Incredible Bayer Offer, these same brands count as 2X acres for qualifying acres.</t>
  </si>
  <si>
    <t xml:space="preserve">For Raxil PRO SHIELD and Trilex EverGol SHIELD acres count as 2X for qualification purposes. Stress SHIELD is a qualification product  but is paid only on matching acres with Raxil PRO and/or Trilex and/or EverGol Energy. </t>
  </si>
  <si>
    <t>are 2024 SRP's or no price, some obsolete products, ALSO A FEW PRODUCTS given to me on TEAMS</t>
  </si>
  <si>
    <t>CIRRAY®</t>
  </si>
  <si>
    <t>Seed must be booked by Oct 11, 2024 to qualify for the DEKALB® SUMMER SIZZLER Rebate</t>
  </si>
  <si>
    <t>DEKALB® SUMMER SIZZLER Payable Acres</t>
  </si>
  <si>
    <t>DEKALB® CANOLA SEED ACRES PURCHASED</t>
  </si>
  <si>
    <r>
      <t>TOTAL ACRES OF DEKALB</t>
    </r>
    <r>
      <rPr>
        <vertAlign val="superscript"/>
        <sz val="11"/>
        <color theme="1"/>
        <rFont val="Calibri"/>
        <family val="2"/>
        <scheme val="minor"/>
      </rPr>
      <t xml:space="preserve">® </t>
    </r>
    <r>
      <rPr>
        <sz val="11"/>
        <color theme="1"/>
        <rFont val="Calibri"/>
        <family val="2"/>
        <scheme val="minor"/>
      </rPr>
      <t>CANOLA, CORN AND SOYBEAN SEED EARLY BOOKED</t>
    </r>
  </si>
  <si>
    <r>
      <t>DEKALB</t>
    </r>
    <r>
      <rPr>
        <vertAlign val="superscript"/>
        <sz val="11"/>
        <color theme="1"/>
        <rFont val="Calibri"/>
        <family val="2"/>
        <scheme val="minor"/>
      </rPr>
      <t xml:space="preserve">® </t>
    </r>
    <r>
      <rPr>
        <sz val="11"/>
        <color theme="1"/>
        <rFont val="Calibri"/>
        <family val="2"/>
        <scheme val="minor"/>
      </rPr>
      <t>SUMMER SIZZLER Rebate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</si>
</sst>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1009]mmmm\ d\,\ yyyy;@"/>
    <numFmt numFmtId="166" formatCode="0_ ;\-0\ "/>
    <numFmt numFmtId="167" formatCode="#,##0.0"/>
    <numFmt numFmtId="168" formatCode="#,##0.000"/>
    <numFmt numFmtId="169" formatCode="0.0000"/>
    <numFmt numFmtId="170" formatCode="#,##0.00_ ;\-#,##0.00\ "/>
    <numFmt numFmtId="171" formatCode="#,##0_ ;\-#,##0\ "/>
    <numFmt numFmtId="172" formatCode="[$-F800]dddd\,\ mmmm\ dd\,\ yyyy"/>
  </numFmts>
  <fonts count="10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1"/>
      <color rgb="FF01135F"/>
      <name val="Calibri"/>
      <family val="2"/>
      <scheme val="minor"/>
    </font>
    <font>
      <b/>
      <sz val="10"/>
      <color rgb="FF01135F"/>
      <name val="Calibri"/>
      <family val="2"/>
      <scheme val="minor"/>
    </font>
    <font>
      <sz val="11"/>
      <color rgb="FF01135F"/>
      <name val="Calibri"/>
      <family val="2"/>
      <scheme val="minor"/>
    </font>
    <font>
      <sz val="10"/>
      <color rgb="FF01135F"/>
      <name val="Calibri"/>
      <family val="2"/>
      <scheme val="minor"/>
    </font>
    <font>
      <b/>
      <i/>
      <sz val="11"/>
      <color rgb="FF01135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sz val="24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1"/>
      <color theme="1"/>
      <name val="Arial"/>
      <family val="2"/>
    </font>
    <font>
      <b/>
      <i/>
      <sz val="12"/>
      <color rgb="FF00B05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theme="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  <font>
      <sz val="14"/>
      <color theme="0"/>
      <name val="Calibri"/>
      <family val="2"/>
      <scheme val="minor"/>
    </font>
    <font>
      <sz val="11"/>
      <color rgb="FF003CFE"/>
      <name val="Calibri"/>
      <family val="2"/>
      <scheme val="minor"/>
    </font>
    <font>
      <sz val="11"/>
      <color rgb="FF0070C0"/>
      <name val="Arial"/>
      <family val="2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70C0"/>
      <name val="Arial"/>
      <family val="2"/>
    </font>
    <font>
      <sz val="18"/>
      <color theme="1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1"/>
      <color rgb="FF237402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0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2"/>
      <color rgb="FF002060"/>
      <name val="Calibri"/>
      <family val="2"/>
      <scheme val="minor"/>
    </font>
    <font>
      <b/>
      <i/>
      <sz val="14"/>
      <color rgb="FF01135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BC"/>
      <name val="Calibri"/>
      <family val="2"/>
      <scheme val="minor"/>
    </font>
    <font>
      <sz val="11"/>
      <color rgb="FF002060"/>
      <name val="Arial"/>
      <family val="2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rgb="FF002060"/>
      <name val="Tahoma"/>
      <family val="2"/>
    </font>
    <font>
      <b/>
      <sz val="8"/>
      <color rgb="FF002060"/>
      <name val="Tahoma"/>
      <family val="2"/>
    </font>
    <font>
      <b/>
      <sz val="11"/>
      <color theme="0"/>
      <name val="Calibri"/>
      <family val="2"/>
    </font>
    <font>
      <sz val="9"/>
      <color rgb="FF0070C0"/>
      <name val="Arial"/>
      <family val="2"/>
    </font>
    <font>
      <b/>
      <sz val="11"/>
      <color theme="0" tint="-0.499984740745262"/>
      <name val="Calibri"/>
      <family val="2"/>
    </font>
    <font>
      <sz val="10"/>
      <color rgb="FF0070C0"/>
      <name val="Tahoma"/>
      <family val="2"/>
    </font>
    <font>
      <sz val="10"/>
      <color theme="1"/>
      <name val="Tahoma"/>
      <family val="2"/>
    </font>
    <font>
      <b/>
      <sz val="19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3"/>
      <color theme="0" tint="-0.499984740745262"/>
      <name val="Calibri"/>
      <family val="2"/>
      <scheme val="minor"/>
    </font>
    <font>
      <i/>
      <sz val="12"/>
      <color rgb="FF00206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4"/>
      <color theme="0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B01B10"/>
        <bgColor indexed="64"/>
      </patternFill>
    </fill>
    <fill>
      <patternFill patternType="solid">
        <fgColor rgb="FF1CA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0625">
        <bgColor theme="0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2E2C8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gradientFill degree="90">
        <stop position="0">
          <color rgb="FF002060"/>
        </stop>
        <stop position="1">
          <color theme="0" tint="-0.1490218817712943"/>
        </stop>
      </gradientFill>
    </fill>
    <fill>
      <patternFill patternType="solid">
        <fgColor theme="4" tint="-0.24994659260841701"/>
        <bgColor indexed="64"/>
      </patternFill>
    </fill>
    <fill>
      <patternFill patternType="solid">
        <fgColor rgb="FF1B9D21"/>
        <bgColor indexed="64"/>
      </patternFill>
    </fill>
    <fill>
      <patternFill patternType="solid">
        <fgColor theme="4" tint="-0.24994659260841701"/>
        <bgColor auto="1"/>
      </patternFill>
    </fill>
    <fill>
      <patternFill patternType="solid">
        <fgColor rgb="FF15791A"/>
        <bgColor indexed="64"/>
      </patternFill>
    </fill>
    <fill>
      <gradientFill degree="90">
        <stop position="0">
          <color rgb="FF15791A"/>
        </stop>
        <stop position="1">
          <color theme="0" tint="-0.1490218817712943"/>
        </stop>
      </gradientFill>
    </fill>
    <fill>
      <patternFill patternType="solid">
        <fgColor rgb="FFFBFBFB"/>
        <bgColor indexed="64"/>
      </patternFill>
    </fill>
    <fill>
      <patternFill patternType="solid">
        <fgColor rgb="FF15791A"/>
        <bgColor auto="1"/>
      </patternFill>
    </fill>
    <fill>
      <patternFill patternType="solid">
        <fgColor rgb="FF2D507B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80">
    <border>
      <left/>
      <right/>
      <top/>
      <bottom/>
      <diagonal/>
    </border>
    <border>
      <left/>
      <right style="medium">
        <color rgb="FF1CA422"/>
      </right>
      <top/>
      <bottom/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/>
      <top/>
      <bottom style="medium">
        <color rgb="FF1CA422"/>
      </bottom>
      <diagonal/>
    </border>
    <border>
      <left/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/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/>
      <top/>
      <bottom/>
      <diagonal/>
    </border>
    <border>
      <left style="medium">
        <color rgb="FF1CA422"/>
      </left>
      <right/>
      <top style="medium">
        <color rgb="FF1CA422"/>
      </top>
      <bottom/>
      <diagonal/>
    </border>
    <border>
      <left/>
      <right/>
      <top style="medium">
        <color rgb="FF1CA422"/>
      </top>
      <bottom/>
      <diagonal/>
    </border>
    <border>
      <left/>
      <right/>
      <top/>
      <bottom style="medium">
        <color rgb="FF1CA42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1CA422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/>
      <top style="medium">
        <color rgb="FF1CA422"/>
      </top>
      <bottom/>
      <diagonal/>
    </border>
    <border>
      <left style="medium">
        <color rgb="FF1CA422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medium">
        <color rgb="FF1CA422"/>
      </bottom>
      <diagonal/>
    </border>
    <border>
      <left style="thin">
        <color rgb="FF1CA422"/>
      </left>
      <right style="thin">
        <color rgb="FF1CA422"/>
      </right>
      <top/>
      <bottom style="thin">
        <color rgb="FF1CA422"/>
      </bottom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thin">
        <color rgb="FF1CA422"/>
      </bottom>
      <diagonal/>
    </border>
    <border>
      <left style="thick">
        <color rgb="FF1CA422"/>
      </left>
      <right/>
      <top/>
      <bottom/>
      <diagonal/>
    </border>
    <border>
      <left style="medium">
        <color rgb="FF1CA422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medium">
        <color rgb="FF1CA422"/>
      </right>
      <top style="medium">
        <color rgb="FF1CA422"/>
      </top>
      <bottom/>
      <diagonal/>
    </border>
    <border>
      <left/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/>
      <top style="thin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 style="thin">
        <color rgb="FF1CA4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medium">
        <color rgb="FF1CA422"/>
      </bottom>
      <diagonal/>
    </border>
    <border>
      <left style="medium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thick">
        <color rgb="FF92D050"/>
      </left>
      <right/>
      <top/>
      <bottom/>
      <diagonal/>
    </border>
    <border>
      <left style="thin">
        <color rgb="FF1CA422"/>
      </left>
      <right style="medium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/>
      <diagonal/>
    </border>
    <border>
      <left style="thin">
        <color rgb="FF1CA422"/>
      </left>
      <right style="thin">
        <color rgb="FF1CA422"/>
      </right>
      <top/>
      <bottom/>
      <diagonal/>
    </border>
    <border>
      <left/>
      <right style="thin">
        <color rgb="FF1CA422"/>
      </right>
      <top/>
      <bottom style="thin">
        <color rgb="FF1CA42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229628"/>
      </left>
      <right/>
      <top style="medium">
        <color rgb="FF229628"/>
      </top>
      <bottom style="medium">
        <color rgb="FF229628"/>
      </bottom>
      <diagonal/>
    </border>
    <border>
      <left/>
      <right/>
      <top style="medium">
        <color rgb="FF229628"/>
      </top>
      <bottom style="medium">
        <color rgb="FF229628"/>
      </bottom>
      <diagonal/>
    </border>
    <border>
      <left/>
      <right style="medium">
        <color rgb="FF229628"/>
      </right>
      <top style="medium">
        <color rgb="FF229628"/>
      </top>
      <bottom style="medium">
        <color rgb="FF229628"/>
      </bottom>
      <diagonal/>
    </border>
    <border>
      <left/>
      <right style="thick">
        <color rgb="FF1CA42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208C25"/>
      </left>
      <right/>
      <top style="medium">
        <color rgb="FF208C25"/>
      </top>
      <bottom style="medium">
        <color rgb="FF208C25"/>
      </bottom>
      <diagonal/>
    </border>
    <border>
      <left/>
      <right/>
      <top style="medium">
        <color rgb="FF208C25"/>
      </top>
      <bottom style="medium">
        <color rgb="FF208C25"/>
      </bottom>
      <diagonal/>
    </border>
    <border>
      <left/>
      <right style="medium">
        <color rgb="FF208C25"/>
      </right>
      <top style="medium">
        <color rgb="FF208C25"/>
      </top>
      <bottom style="medium">
        <color rgb="FF208C25"/>
      </bottom>
      <diagonal/>
    </border>
    <border>
      <left/>
      <right style="thin">
        <color rgb="FF1CA422"/>
      </right>
      <top style="thin">
        <color rgb="FF1CA422"/>
      </top>
      <bottom/>
      <diagonal/>
    </border>
    <border>
      <left/>
      <right style="medium">
        <color rgb="FF229628"/>
      </right>
      <top style="medium">
        <color rgb="FF1CA422"/>
      </top>
      <bottom style="medium">
        <color rgb="FF1CA422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medium">
        <color rgb="FF1CA422"/>
      </right>
      <top style="medium">
        <color rgb="FF208C25"/>
      </top>
      <bottom/>
      <diagonal/>
    </border>
    <border>
      <left style="medium">
        <color rgb="FF1CA422"/>
      </left>
      <right style="medium">
        <color rgb="FF208C25"/>
      </right>
      <top style="medium">
        <color rgb="FF208C2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rgb="FF208C25"/>
      </left>
      <right/>
      <top/>
      <bottom style="medium">
        <color rgb="FF208C25"/>
      </bottom>
      <diagonal/>
    </border>
    <border>
      <left/>
      <right/>
      <top/>
      <bottom style="medium">
        <color rgb="FF208C25"/>
      </bottom>
      <diagonal/>
    </border>
    <border>
      <left/>
      <right style="medium">
        <color rgb="FF208C25"/>
      </right>
      <top/>
      <bottom style="medium">
        <color rgb="FF208C2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rgb="FF1B9D21"/>
      </left>
      <right style="medium">
        <color rgb="FF1B9D21"/>
      </right>
      <top style="medium">
        <color rgb="FF1B9D21"/>
      </top>
      <bottom style="medium">
        <color rgb="FF1B9D21"/>
      </bottom>
      <diagonal/>
    </border>
    <border>
      <left style="medium">
        <color rgb="FF1B9D21"/>
      </left>
      <right/>
      <top style="medium">
        <color rgb="FF1B9D21"/>
      </top>
      <bottom style="medium">
        <color rgb="FF1CA422"/>
      </bottom>
      <diagonal/>
    </border>
    <border>
      <left style="medium">
        <color rgb="FF1B9D21"/>
      </left>
      <right/>
      <top style="medium">
        <color rgb="FF1CA422"/>
      </top>
      <bottom style="medium">
        <color rgb="FF1B9D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/>
      </right>
      <top/>
      <bottom/>
      <diagonal/>
    </border>
    <border>
      <left style="thin">
        <color theme="0" tint="-0.49998474074526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 tint="-0.499984740745262"/>
      </right>
      <top/>
      <bottom style="thin">
        <color theme="0"/>
      </bottom>
      <diagonal/>
    </border>
    <border>
      <left style="thin">
        <color theme="0"/>
      </left>
      <right style="thin">
        <color theme="0" tint="-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499984740745262"/>
      </right>
      <top style="thin">
        <color theme="0"/>
      </top>
      <bottom/>
      <diagonal/>
    </border>
    <border>
      <left style="thin">
        <color theme="0"/>
      </left>
      <right style="thin">
        <color theme="0" tint="-0.499984740745262"/>
      </right>
      <top/>
      <bottom/>
      <diagonal/>
    </border>
    <border>
      <left style="thin">
        <color rgb="FF0E4E11"/>
      </left>
      <right style="thin">
        <color rgb="FF0E4E11"/>
      </right>
      <top style="thin">
        <color rgb="FF0E4E11"/>
      </top>
      <bottom style="thin">
        <color rgb="FF0E4E11"/>
      </bottom>
      <diagonal/>
    </border>
    <border>
      <left/>
      <right style="thin">
        <color theme="0" tint="-0.499984740745262"/>
      </right>
      <top style="thin">
        <color rgb="FF0E4E11"/>
      </top>
      <bottom style="thin">
        <color rgb="FF0E4E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E4E11"/>
      </top>
      <bottom style="thin">
        <color rgb="FF0E4E11"/>
      </bottom>
      <diagonal/>
    </border>
    <border>
      <left style="thin">
        <color theme="0" tint="-0.499984740745262"/>
      </left>
      <right style="thin">
        <color rgb="FF0E4E11"/>
      </right>
      <top style="thin">
        <color rgb="FF0E4E11"/>
      </top>
      <bottom style="thin">
        <color rgb="FF0E4E11"/>
      </bottom>
      <diagonal/>
    </border>
    <border>
      <left style="medium">
        <color rgb="FF002060"/>
      </left>
      <right style="medium">
        <color rgb="FF002060"/>
      </right>
      <top style="thin">
        <color theme="0" tint="-0.499984740745262"/>
      </top>
      <bottom style="medium">
        <color rgb="FF002060"/>
      </bottom>
      <diagonal/>
    </border>
    <border>
      <left style="thin">
        <color rgb="FF1CA422"/>
      </left>
      <right/>
      <top style="thin">
        <color rgb="FF1CA4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0.49998474074526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/>
      <top style="thin">
        <color theme="0" tint="-0.499984740745262"/>
      </top>
      <bottom/>
      <diagonal/>
    </border>
    <border>
      <left/>
      <right style="medium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34998626667073579"/>
      </right>
      <top/>
      <bottom/>
      <diagonal/>
    </border>
    <border>
      <left/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499984740745262"/>
      </left>
      <right/>
      <top style="medium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/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0E4E11"/>
      </left>
      <right/>
      <top style="thin">
        <color rgb="FF0E4E11"/>
      </top>
      <bottom style="thin">
        <color rgb="FF0E4E11"/>
      </bottom>
      <diagonal/>
    </border>
    <border>
      <left style="thin">
        <color theme="0" tint="-0.499984740745262"/>
      </left>
      <right style="thin">
        <color rgb="FF0E4E11"/>
      </right>
      <top style="thin">
        <color rgb="FF0E4E11"/>
      </top>
      <bottom/>
      <diagonal/>
    </border>
  </borders>
  <cellStyleXfs count="5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16" borderId="0" applyNumberFormat="0" applyBorder="0" applyAlignment="0" applyProtection="0"/>
    <xf numFmtId="0" fontId="36" fillId="17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23" applyNumberFormat="0" applyAlignment="0" applyProtection="0"/>
    <xf numFmtId="0" fontId="39" fillId="20" borderId="24" applyNumberFormat="0" applyAlignment="0" applyProtection="0"/>
    <xf numFmtId="0" fontId="40" fillId="20" borderId="23" applyNumberFormat="0" applyAlignment="0" applyProtection="0"/>
    <xf numFmtId="0" fontId="41" fillId="0" borderId="25" applyNumberFormat="0" applyFill="0" applyAlignment="0" applyProtection="0"/>
    <xf numFmtId="0" fontId="2" fillId="21" borderId="26" applyNumberFormat="0" applyAlignment="0" applyProtection="0"/>
    <xf numFmtId="0" fontId="42" fillId="0" borderId="0" applyNumberFormat="0" applyFill="0" applyBorder="0" applyAlignment="0" applyProtection="0"/>
    <xf numFmtId="0" fontId="1" fillId="22" borderId="27" applyNumberFormat="0" applyFont="0" applyAlignment="0" applyProtection="0"/>
    <xf numFmtId="0" fontId="43" fillId="0" borderId="0" applyNumberFormat="0" applyFill="0" applyBorder="0" applyAlignment="0" applyProtection="0"/>
    <xf numFmtId="0" fontId="19" fillId="0" borderId="28" applyNumberFormat="0" applyFill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3" fillId="46" borderId="0" applyNumberFormat="0" applyBorder="0" applyAlignment="0" applyProtection="0"/>
    <xf numFmtId="0" fontId="4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38">
    <xf numFmtId="0" fontId="0" fillId="0" borderId="0" xfId="0"/>
    <xf numFmtId="0" fontId="0" fillId="3" borderId="0" xfId="0" applyFill="1"/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0" fillId="0" borderId="0" xfId="0" applyAlignment="1">
      <alignment vertical="top"/>
    </xf>
    <xf numFmtId="165" fontId="6" fillId="0" borderId="0" xfId="0" applyNumberFormat="1" applyFont="1" applyAlignment="1">
      <alignment horizontal="center"/>
    </xf>
    <xf numFmtId="166" fontId="13" fillId="3" borderId="0" xfId="1" applyNumberFormat="1" applyFont="1" applyFill="1" applyBorder="1" applyAlignment="1" applyProtection="1">
      <alignment horizontal="center" vertical="center"/>
      <protection hidden="1"/>
    </xf>
    <xf numFmtId="166" fontId="13" fillId="3" borderId="8" xfId="1" applyNumberFormat="1" applyFont="1" applyFill="1" applyBorder="1" applyAlignment="1" applyProtection="1">
      <alignment horizontal="center" vertical="center"/>
      <protection hidden="1"/>
    </xf>
    <xf numFmtId="166" fontId="13" fillId="3" borderId="13" xfId="1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left"/>
      <protection hidden="1"/>
    </xf>
    <xf numFmtId="0" fontId="2" fillId="2" borderId="2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166" fontId="13" fillId="3" borderId="4" xfId="1" applyNumberFormat="1" applyFont="1" applyFill="1" applyBorder="1" applyAlignment="1" applyProtection="1">
      <alignment horizontal="center" vertical="center"/>
      <protection hidden="1"/>
    </xf>
    <xf numFmtId="0" fontId="2" fillId="9" borderId="2" xfId="0" applyFont="1" applyFill="1" applyBorder="1" applyAlignment="1">
      <alignment horizontal="center"/>
    </xf>
    <xf numFmtId="0" fontId="4" fillId="4" borderId="0" xfId="0" applyFont="1" applyFill="1" applyProtection="1">
      <protection hidden="1"/>
    </xf>
    <xf numFmtId="44" fontId="13" fillId="3" borderId="11" xfId="2" applyFont="1" applyFill="1" applyBorder="1"/>
    <xf numFmtId="44" fontId="13" fillId="3" borderId="12" xfId="2" applyFont="1" applyFill="1" applyBorder="1"/>
    <xf numFmtId="44" fontId="13" fillId="3" borderId="3" xfId="2" applyFont="1" applyFill="1" applyBorder="1"/>
    <xf numFmtId="0" fontId="18" fillId="6" borderId="30" xfId="11" applyFont="1" applyFill="1" applyBorder="1" applyAlignment="1" applyProtection="1">
      <alignment horizontal="center" wrapText="1"/>
      <protection hidden="1"/>
    </xf>
    <xf numFmtId="0" fontId="18" fillId="48" borderId="30" xfId="11" applyFont="1" applyFill="1" applyBorder="1" applyAlignment="1" applyProtection="1">
      <alignment horizontal="center" wrapText="1"/>
      <protection hidden="1"/>
    </xf>
    <xf numFmtId="0" fontId="18" fillId="47" borderId="30" xfId="11" applyFont="1" applyFill="1" applyBorder="1" applyAlignment="1" applyProtection="1">
      <alignment horizontal="center" wrapText="1"/>
      <protection hidden="1"/>
    </xf>
    <xf numFmtId="0" fontId="20" fillId="6" borderId="31" xfId="11" applyFont="1" applyFill="1" applyBorder="1" applyAlignment="1" applyProtection="1">
      <alignment horizontal="center" wrapText="1"/>
      <protection hidden="1"/>
    </xf>
    <xf numFmtId="0" fontId="20" fillId="6" borderId="31" xfId="11" applyFont="1" applyFill="1" applyBorder="1" applyAlignment="1" applyProtection="1">
      <alignment horizontal="center"/>
      <protection hidden="1"/>
    </xf>
    <xf numFmtId="0" fontId="18" fillId="6" borderId="6" xfId="11" applyFont="1" applyFill="1" applyBorder="1" applyAlignment="1" applyProtection="1">
      <alignment horizontal="center" wrapText="1"/>
      <protection hidden="1"/>
    </xf>
    <xf numFmtId="0" fontId="18" fillId="6" borderId="3" xfId="11" applyFont="1" applyFill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8" fillId="6" borderId="14" xfId="11" applyFont="1" applyFill="1" applyBorder="1" applyAlignment="1" applyProtection="1">
      <alignment horizontal="center" wrapText="1"/>
      <protection hidden="1"/>
    </xf>
    <xf numFmtId="0" fontId="18" fillId="48" borderId="14" xfId="11" applyFont="1" applyFill="1" applyBorder="1" applyAlignment="1" applyProtection="1">
      <alignment horizontal="center" wrapText="1"/>
      <protection hidden="1"/>
    </xf>
    <xf numFmtId="0" fontId="18" fillId="47" borderId="14" xfId="11" applyFont="1" applyFill="1" applyBorder="1" applyAlignment="1" applyProtection="1">
      <alignment horizontal="center" wrapText="1"/>
      <protection hidden="1"/>
    </xf>
    <xf numFmtId="0" fontId="20" fillId="6" borderId="15" xfId="11" applyFont="1" applyFill="1" applyBorder="1" applyAlignment="1" applyProtection="1">
      <alignment horizontal="center" wrapText="1"/>
      <protection hidden="1"/>
    </xf>
    <xf numFmtId="0" fontId="20" fillId="6" borderId="15" xfId="11" applyFont="1" applyFill="1" applyBorder="1" applyAlignment="1" applyProtection="1">
      <alignment horizontal="center"/>
      <protection hidden="1"/>
    </xf>
    <xf numFmtId="0" fontId="18" fillId="6" borderId="1" xfId="11" applyFont="1" applyFill="1" applyBorder="1" applyAlignment="1" applyProtection="1">
      <alignment horizontal="center" wrapText="1"/>
      <protection hidden="1"/>
    </xf>
    <xf numFmtId="0" fontId="0" fillId="0" borderId="18" xfId="0" applyBorder="1" applyProtection="1">
      <protection hidden="1"/>
    </xf>
    <xf numFmtId="0" fontId="0" fillId="0" borderId="1" xfId="0" applyBorder="1" applyProtection="1">
      <protection hidden="1"/>
    </xf>
    <xf numFmtId="0" fontId="16" fillId="0" borderId="43" xfId="0" applyFont="1" applyBorder="1" applyProtection="1">
      <protection hidden="1"/>
    </xf>
    <xf numFmtId="0" fontId="16" fillId="0" borderId="34" xfId="0" applyFont="1" applyBorder="1" applyProtection="1">
      <protection hidden="1"/>
    </xf>
    <xf numFmtId="0" fontId="16" fillId="0" borderId="0" xfId="0" applyFont="1" applyProtection="1">
      <protection hidden="1"/>
    </xf>
    <xf numFmtId="0" fontId="0" fillId="0" borderId="43" xfId="0" applyBorder="1" applyProtection="1">
      <protection hidden="1"/>
    </xf>
    <xf numFmtId="0" fontId="0" fillId="0" borderId="34" xfId="0" applyBorder="1" applyProtection="1">
      <protection hidden="1"/>
    </xf>
    <xf numFmtId="0" fontId="16" fillId="0" borderId="0" xfId="11" applyProtection="1">
      <protection hidden="1"/>
    </xf>
    <xf numFmtId="0" fontId="18" fillId="6" borderId="0" xfId="11" applyFont="1" applyFill="1" applyProtection="1">
      <protection hidden="1"/>
    </xf>
    <xf numFmtId="44" fontId="16" fillId="0" borderId="0" xfId="11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43" fontId="22" fillId="0" borderId="0" xfId="12" applyFont="1" applyFill="1" applyBorder="1" applyProtection="1">
      <protection hidden="1"/>
    </xf>
    <xf numFmtId="0" fontId="0" fillId="0" borderId="40" xfId="0" applyBorder="1" applyProtection="1">
      <protection hidden="1"/>
    </xf>
    <xf numFmtId="0" fontId="0" fillId="0" borderId="41" xfId="0" applyBorder="1" applyProtection="1">
      <protection hidden="1"/>
    </xf>
    <xf numFmtId="43" fontId="22" fillId="0" borderId="41" xfId="12" applyFont="1" applyFill="1" applyBorder="1" applyProtection="1">
      <protection hidden="1"/>
    </xf>
    <xf numFmtId="0" fontId="18" fillId="6" borderId="41" xfId="11" applyFont="1" applyFill="1" applyBorder="1" applyProtection="1">
      <protection hidden="1"/>
    </xf>
    <xf numFmtId="0" fontId="18" fillId="6" borderId="42" xfId="11" applyFont="1" applyFill="1" applyBorder="1" applyProtection="1">
      <protection hidden="1"/>
    </xf>
    <xf numFmtId="0" fontId="16" fillId="0" borderId="12" xfId="11" applyBorder="1" applyProtection="1">
      <protection hidden="1"/>
    </xf>
    <xf numFmtId="0" fontId="16" fillId="0" borderId="3" xfId="11" applyBorder="1" applyProtection="1">
      <protection hidden="1"/>
    </xf>
    <xf numFmtId="0" fontId="0" fillId="0" borderId="8" xfId="0" applyBorder="1" applyProtection="1">
      <protection hidden="1"/>
    </xf>
    <xf numFmtId="0" fontId="0" fillId="0" borderId="17" xfId="0" applyBorder="1" applyProtection="1">
      <protection hidden="1"/>
    </xf>
    <xf numFmtId="43" fontId="22" fillId="0" borderId="17" xfId="12" applyFont="1" applyFill="1" applyBorder="1" applyProtection="1">
      <protection hidden="1"/>
    </xf>
    <xf numFmtId="0" fontId="18" fillId="6" borderId="17" xfId="11" applyFont="1" applyFill="1" applyBorder="1" applyProtection="1">
      <protection hidden="1"/>
    </xf>
    <xf numFmtId="0" fontId="16" fillId="0" borderId="17" xfId="11" applyBorder="1" applyProtection="1">
      <protection hidden="1"/>
    </xf>
    <xf numFmtId="0" fontId="16" fillId="0" borderId="9" xfId="11" applyBorder="1" applyProtection="1">
      <protection hidden="1"/>
    </xf>
    <xf numFmtId="0" fontId="18" fillId="6" borderId="9" xfId="11" applyFont="1" applyFill="1" applyBorder="1" applyProtection="1">
      <protection hidden="1"/>
    </xf>
    <xf numFmtId="4" fontId="22" fillId="10" borderId="34" xfId="11" applyNumberFormat="1" applyFont="1" applyFill="1" applyBorder="1" applyProtection="1">
      <protection hidden="1"/>
    </xf>
    <xf numFmtId="0" fontId="22" fillId="12" borderId="34" xfId="11" applyFont="1" applyFill="1" applyBorder="1" applyProtection="1">
      <protection hidden="1"/>
    </xf>
    <xf numFmtId="4" fontId="22" fillId="10" borderId="37" xfId="11" applyNumberFormat="1" applyFont="1" applyFill="1" applyBorder="1" applyProtection="1">
      <protection hidden="1"/>
    </xf>
    <xf numFmtId="0" fontId="18" fillId="49" borderId="6" xfId="11" applyFont="1" applyFill="1" applyBorder="1" applyAlignment="1" applyProtection="1">
      <alignment horizontal="center" wrapText="1"/>
      <protection hidden="1"/>
    </xf>
    <xf numFmtId="0" fontId="55" fillId="52" borderId="46" xfId="11" applyFont="1" applyFill="1" applyBorder="1" applyAlignment="1">
      <alignment horizontal="center"/>
    </xf>
    <xf numFmtId="0" fontId="18" fillId="49" borderId="18" xfId="11" quotePrefix="1" applyFont="1" applyFill="1" applyBorder="1" applyAlignment="1" applyProtection="1">
      <alignment horizontal="center" wrapText="1"/>
      <protection hidden="1"/>
    </xf>
    <xf numFmtId="0" fontId="18" fillId="49" borderId="47" xfId="11" applyFont="1" applyFill="1" applyBorder="1" applyAlignment="1" applyProtection="1">
      <alignment horizontal="center" wrapText="1"/>
      <protection hidden="1"/>
    </xf>
    <xf numFmtId="0" fontId="18" fillId="49" borderId="48" xfId="11" applyFont="1" applyFill="1" applyBorder="1" applyAlignment="1" applyProtection="1">
      <alignment horizontal="center" wrapText="1"/>
      <protection hidden="1"/>
    </xf>
    <xf numFmtId="0" fontId="22" fillId="12" borderId="16" xfId="11" applyFont="1" applyFill="1" applyBorder="1" applyProtection="1">
      <protection hidden="1"/>
    </xf>
    <xf numFmtId="0" fontId="22" fillId="6" borderId="16" xfId="11" applyFont="1" applyFill="1" applyBorder="1" applyAlignment="1" applyProtection="1">
      <alignment horizontal="center"/>
      <protection hidden="1"/>
    </xf>
    <xf numFmtId="0" fontId="22" fillId="0" borderId="16" xfId="11" applyFont="1" applyBorder="1" applyProtection="1">
      <protection hidden="1"/>
    </xf>
    <xf numFmtId="0" fontId="22" fillId="0" borderId="19" xfId="11" applyFont="1" applyBorder="1" applyProtection="1">
      <protection hidden="1"/>
    </xf>
    <xf numFmtId="0" fontId="22" fillId="0" borderId="34" xfId="11" applyFont="1" applyBorder="1" applyProtection="1">
      <protection hidden="1"/>
    </xf>
    <xf numFmtId="167" fontId="22" fillId="0" borderId="34" xfId="11" applyNumberFormat="1" applyFont="1" applyBorder="1" applyProtection="1">
      <protection hidden="1"/>
    </xf>
    <xf numFmtId="0" fontId="22" fillId="6" borderId="34" xfId="11" applyFont="1" applyFill="1" applyBorder="1" applyProtection="1">
      <protection hidden="1"/>
    </xf>
    <xf numFmtId="0" fontId="16" fillId="0" borderId="34" xfId="11" applyBorder="1" applyProtection="1">
      <protection hidden="1"/>
    </xf>
    <xf numFmtId="0" fontId="18" fillId="49" borderId="15" xfId="11" applyFont="1" applyFill="1" applyBorder="1" applyAlignment="1" applyProtection="1">
      <alignment horizontal="center" wrapText="1"/>
      <protection hidden="1"/>
    </xf>
    <xf numFmtId="0" fontId="20" fillId="6" borderId="0" xfId="11" applyFont="1" applyFill="1" applyAlignment="1" applyProtection="1">
      <alignment horizontal="center" wrapText="1"/>
      <protection hidden="1"/>
    </xf>
    <xf numFmtId="0" fontId="22" fillId="6" borderId="33" xfId="11" applyFont="1" applyFill="1" applyBorder="1" applyAlignment="1" applyProtection="1">
      <alignment horizontal="center"/>
      <protection hidden="1"/>
    </xf>
    <xf numFmtId="44" fontId="22" fillId="11" borderId="45" xfId="2" applyFont="1" applyFill="1" applyBorder="1" applyProtection="1">
      <protection hidden="1"/>
    </xf>
    <xf numFmtId="44" fontId="22" fillId="11" borderId="34" xfId="2" applyFont="1" applyFill="1" applyBorder="1" applyProtection="1">
      <protection hidden="1"/>
    </xf>
    <xf numFmtId="0" fontId="0" fillId="0" borderId="34" xfId="0" applyBorder="1" applyAlignment="1" applyProtection="1">
      <alignment horizontal="center"/>
      <protection hidden="1"/>
    </xf>
    <xf numFmtId="4" fontId="0" fillId="0" borderId="34" xfId="0" applyNumberFormat="1" applyBorder="1" applyProtection="1">
      <protection hidden="1"/>
    </xf>
    <xf numFmtId="0" fontId="0" fillId="0" borderId="34" xfId="0" applyBorder="1"/>
    <xf numFmtId="43" fontId="22" fillId="0" borderId="34" xfId="12" applyFont="1" applyFill="1" applyBorder="1" applyProtection="1">
      <protection hidden="1"/>
    </xf>
    <xf numFmtId="0" fontId="18" fillId="6" borderId="34" xfId="11" applyFont="1" applyFill="1" applyBorder="1" applyProtection="1">
      <protection hidden="1"/>
    </xf>
    <xf numFmtId="44" fontId="0" fillId="0" borderId="52" xfId="2" applyFont="1" applyBorder="1" applyProtection="1">
      <protection hidden="1"/>
    </xf>
    <xf numFmtId="0" fontId="0" fillId="0" borderId="51" xfId="0" applyBorder="1" applyProtection="1">
      <protection hidden="1"/>
    </xf>
    <xf numFmtId="44" fontId="0" fillId="0" borderId="53" xfId="2" applyFont="1" applyBorder="1" applyProtection="1">
      <protection hidden="1"/>
    </xf>
    <xf numFmtId="0" fontId="0" fillId="0" borderId="54" xfId="0" applyBorder="1" applyProtection="1">
      <protection hidden="1"/>
    </xf>
    <xf numFmtId="44" fontId="0" fillId="0" borderId="38" xfId="2" applyFont="1" applyBorder="1" applyProtection="1">
      <protection hidden="1"/>
    </xf>
    <xf numFmtId="0" fontId="0" fillId="0" borderId="54" xfId="0" applyBorder="1" applyAlignment="1" applyProtection="1">
      <alignment horizontal="right"/>
      <protection hidden="1"/>
    </xf>
    <xf numFmtId="0" fontId="0" fillId="0" borderId="50" xfId="0" applyBorder="1" applyProtection="1">
      <protection hidden="1"/>
    </xf>
    <xf numFmtId="44" fontId="0" fillId="0" borderId="36" xfId="0" applyNumberFormat="1" applyBorder="1" applyProtection="1">
      <protection hidden="1"/>
    </xf>
    <xf numFmtId="0" fontId="0" fillId="0" borderId="55" xfId="0" applyBorder="1" applyProtection="1">
      <protection hidden="1"/>
    </xf>
    <xf numFmtId="43" fontId="22" fillId="0" borderId="55" xfId="12" applyFont="1" applyFill="1" applyBorder="1" applyProtection="1">
      <protection hidden="1"/>
    </xf>
    <xf numFmtId="0" fontId="18" fillId="6" borderId="55" xfId="11" applyFont="1" applyFill="1" applyBorder="1" applyProtection="1">
      <protection hidden="1"/>
    </xf>
    <xf numFmtId="0" fontId="18" fillId="6" borderId="53" xfId="11" applyFont="1" applyFill="1" applyBorder="1" applyProtection="1">
      <protection hidden="1"/>
    </xf>
    <xf numFmtId="0" fontId="18" fillId="6" borderId="38" xfId="11" applyFont="1" applyFill="1" applyBorder="1" applyProtection="1">
      <protection hidden="1"/>
    </xf>
    <xf numFmtId="0" fontId="0" fillId="0" borderId="56" xfId="0" applyBorder="1" applyProtection="1">
      <protection hidden="1"/>
    </xf>
    <xf numFmtId="0" fontId="0" fillId="0" borderId="35" xfId="0" applyBorder="1" applyProtection="1">
      <protection hidden="1"/>
    </xf>
    <xf numFmtId="43" fontId="22" fillId="0" borderId="35" xfId="12" applyFont="1" applyFill="1" applyBorder="1" applyProtection="1">
      <protection hidden="1"/>
    </xf>
    <xf numFmtId="0" fontId="18" fillId="6" borderId="35" xfId="11" applyFont="1" applyFill="1" applyBorder="1" applyProtection="1">
      <protection hidden="1"/>
    </xf>
    <xf numFmtId="0" fontId="18" fillId="6" borderId="57" xfId="11" applyFont="1" applyFill="1" applyBorder="1" applyProtection="1">
      <protection hidden="1"/>
    </xf>
    <xf numFmtId="0" fontId="59" fillId="0" borderId="43" xfId="0" applyFont="1" applyBorder="1" applyProtection="1">
      <protection hidden="1"/>
    </xf>
    <xf numFmtId="0" fontId="59" fillId="0" borderId="34" xfId="0" applyFont="1" applyBorder="1" applyProtection="1">
      <protection hidden="1"/>
    </xf>
    <xf numFmtId="0" fontId="59" fillId="0" borderId="0" xfId="0" applyFont="1" applyProtection="1">
      <protection hidden="1"/>
    </xf>
    <xf numFmtId="4" fontId="22" fillId="10" borderId="44" xfId="11" applyNumberFormat="1" applyFont="1" applyFill="1" applyBorder="1" applyProtection="1">
      <protection hidden="1"/>
    </xf>
    <xf numFmtId="0" fontId="22" fillId="12" borderId="43" xfId="11" applyFont="1" applyFill="1" applyBorder="1" applyProtection="1">
      <protection hidden="1"/>
    </xf>
    <xf numFmtId="0" fontId="22" fillId="12" borderId="33" xfId="11" applyFont="1" applyFill="1" applyBorder="1" applyProtection="1">
      <protection hidden="1"/>
    </xf>
    <xf numFmtId="44" fontId="22" fillId="11" borderId="16" xfId="2" applyFont="1" applyFill="1" applyBorder="1" applyProtection="1">
      <protection hidden="1"/>
    </xf>
    <xf numFmtId="0" fontId="52" fillId="0" borderId="0" xfId="0" applyFont="1" applyProtection="1">
      <protection hidden="1"/>
    </xf>
    <xf numFmtId="0" fontId="22" fillId="0" borderId="61" xfId="11" applyFont="1" applyBorder="1" applyProtection="1">
      <protection hidden="1"/>
    </xf>
    <xf numFmtId="0" fontId="60" fillId="0" borderId="61" xfId="11" applyFont="1" applyBorder="1" applyProtection="1">
      <protection hidden="1"/>
    </xf>
    <xf numFmtId="0" fontId="53" fillId="7" borderId="61" xfId="11" applyFont="1" applyFill="1" applyBorder="1" applyProtection="1">
      <protection hidden="1"/>
    </xf>
    <xf numFmtId="0" fontId="22" fillId="6" borderId="61" xfId="11" applyFont="1" applyFill="1" applyBorder="1" applyProtection="1">
      <protection hidden="1"/>
    </xf>
    <xf numFmtId="43" fontId="60" fillId="13" borderId="61" xfId="12" applyFont="1" applyFill="1" applyBorder="1" applyProtection="1">
      <protection hidden="1"/>
    </xf>
    <xf numFmtId="4" fontId="53" fillId="53" borderId="61" xfId="11" applyNumberFormat="1" applyFont="1" applyFill="1" applyBorder="1" applyProtection="1">
      <protection hidden="1"/>
    </xf>
    <xf numFmtId="4" fontId="22" fillId="10" borderId="61" xfId="11" applyNumberFormat="1" applyFont="1" applyFill="1" applyBorder="1" applyProtection="1">
      <protection hidden="1"/>
    </xf>
    <xf numFmtId="44" fontId="53" fillId="11" borderId="61" xfId="2" applyFont="1" applyFill="1" applyBorder="1" applyProtection="1">
      <protection hidden="1"/>
    </xf>
    <xf numFmtId="0" fontId="53" fillId="12" borderId="61" xfId="11" applyFont="1" applyFill="1" applyBorder="1" applyProtection="1">
      <protection hidden="1"/>
    </xf>
    <xf numFmtId="44" fontId="22" fillId="11" borderId="61" xfId="2" applyFont="1" applyFill="1" applyBorder="1" applyProtection="1">
      <protection hidden="1"/>
    </xf>
    <xf numFmtId="0" fontId="22" fillId="12" borderId="61" xfId="11" applyFont="1" applyFill="1" applyBorder="1" applyProtection="1">
      <protection hidden="1"/>
    </xf>
    <xf numFmtId="15" fontId="18" fillId="13" borderId="61" xfId="11" applyNumberFormat="1" applyFont="1" applyFill="1" applyBorder="1" applyProtection="1">
      <protection hidden="1"/>
    </xf>
    <xf numFmtId="0" fontId="0" fillId="0" borderId="61" xfId="0" applyBorder="1" applyProtection="1">
      <protection hidden="1"/>
    </xf>
    <xf numFmtId="0" fontId="17" fillId="0" borderId="61" xfId="11" applyFont="1" applyBorder="1" applyProtection="1">
      <protection hidden="1"/>
    </xf>
    <xf numFmtId="0" fontId="4" fillId="4" borderId="2" xfId="0" applyFont="1" applyFill="1" applyBorder="1" applyProtection="1">
      <protection hidden="1"/>
    </xf>
    <xf numFmtId="0" fontId="4" fillId="8" borderId="2" xfId="0" applyFont="1" applyFill="1" applyBorder="1" applyProtection="1">
      <protection hidden="1"/>
    </xf>
    <xf numFmtId="44" fontId="4" fillId="3" borderId="13" xfId="2" applyFont="1" applyFill="1" applyBorder="1" applyAlignment="1" applyProtection="1">
      <protection hidden="1"/>
    </xf>
    <xf numFmtId="44" fontId="4" fillId="3" borderId="5" xfId="2" applyFont="1" applyFill="1" applyBorder="1" applyAlignment="1" applyProtection="1">
      <protection hidden="1"/>
    </xf>
    <xf numFmtId="0" fontId="4" fillId="8" borderId="17" xfId="0" applyFont="1" applyFill="1" applyBorder="1" applyProtection="1">
      <protection hidden="1"/>
    </xf>
    <xf numFmtId="44" fontId="4" fillId="3" borderId="0" xfId="2" applyFont="1" applyFill="1" applyBorder="1" applyAlignment="1" applyProtection="1">
      <protection hidden="1"/>
    </xf>
    <xf numFmtId="44" fontId="13" fillId="3" borderId="0" xfId="2" applyFont="1" applyFill="1" applyBorder="1" applyAlignment="1" applyProtection="1">
      <protection hidden="1"/>
    </xf>
    <xf numFmtId="0" fontId="4" fillId="5" borderId="2" xfId="0" applyFont="1" applyFill="1" applyBorder="1" applyProtection="1">
      <protection hidden="1"/>
    </xf>
    <xf numFmtId="44" fontId="4" fillId="3" borderId="17" xfId="2" applyFont="1" applyFill="1" applyBorder="1" applyAlignment="1" applyProtection="1">
      <protection hidden="1"/>
    </xf>
    <xf numFmtId="0" fontId="4" fillId="5" borderId="3" xfId="0" applyFont="1" applyFill="1" applyBorder="1" applyProtection="1">
      <protection hidden="1"/>
    </xf>
    <xf numFmtId="0" fontId="4" fillId="3" borderId="0" xfId="0" applyFont="1" applyFill="1" applyAlignment="1" applyProtection="1">
      <alignment horizontal="left"/>
      <protection hidden="1"/>
    </xf>
    <xf numFmtId="0" fontId="26" fillId="3" borderId="0" xfId="0" applyFont="1" applyFill="1" applyAlignment="1" applyProtection="1">
      <alignment horizontal="right"/>
      <protection hidden="1"/>
    </xf>
    <xf numFmtId="0" fontId="61" fillId="0" borderId="0" xfId="0" applyFont="1" applyProtection="1">
      <protection hidden="1"/>
    </xf>
    <xf numFmtId="44" fontId="13" fillId="3" borderId="64" xfId="2" applyFont="1" applyFill="1" applyBorder="1" applyAlignment="1" applyProtection="1">
      <protection hidden="1"/>
    </xf>
    <xf numFmtId="44" fontId="4" fillId="3" borderId="65" xfId="2" applyFont="1" applyFill="1" applyBorder="1" applyAlignment="1" applyProtection="1">
      <protection hidden="1"/>
    </xf>
    <xf numFmtId="44" fontId="13" fillId="3" borderId="65" xfId="2" applyFont="1" applyFill="1" applyBorder="1" applyAlignment="1" applyProtection="1">
      <protection hidden="1"/>
    </xf>
    <xf numFmtId="44" fontId="13" fillId="3" borderId="66" xfId="2" applyFont="1" applyFill="1" applyBorder="1" applyAlignment="1" applyProtection="1">
      <protection hidden="1"/>
    </xf>
    <xf numFmtId="43" fontId="13" fillId="3" borderId="65" xfId="1" applyFont="1" applyFill="1" applyBorder="1" applyAlignment="1" applyProtection="1">
      <alignment horizontal="center" vertical="center"/>
      <protection hidden="1"/>
    </xf>
    <xf numFmtId="166" fontId="13" fillId="3" borderId="65" xfId="1" applyNumberFormat="1" applyFont="1" applyFill="1" applyBorder="1" applyAlignment="1" applyProtection="1">
      <alignment horizontal="center" vertical="center"/>
      <protection hidden="1"/>
    </xf>
    <xf numFmtId="0" fontId="9" fillId="3" borderId="0" xfId="0" applyFont="1" applyFill="1" applyAlignment="1">
      <alignment horizontal="left" vertical="center"/>
    </xf>
    <xf numFmtId="0" fontId="5" fillId="0" borderId="0" xfId="0" applyFont="1" applyProtection="1">
      <protection hidden="1"/>
    </xf>
    <xf numFmtId="44" fontId="28" fillId="0" borderId="0" xfId="2" applyFont="1" applyFill="1" applyBorder="1" applyAlignment="1" applyProtection="1">
      <protection hidden="1"/>
    </xf>
    <xf numFmtId="0" fontId="57" fillId="0" borderId="0" xfId="0" applyFont="1" applyAlignment="1" applyProtection="1">
      <alignment horizontal="center"/>
      <protection hidden="1"/>
    </xf>
    <xf numFmtId="4" fontId="22" fillId="10" borderId="0" xfId="11" applyNumberFormat="1" applyFont="1" applyFill="1" applyProtection="1">
      <protection hidden="1"/>
    </xf>
    <xf numFmtId="0" fontId="22" fillId="0" borderId="58" xfId="11" applyFont="1" applyBorder="1" applyProtection="1">
      <protection hidden="1"/>
    </xf>
    <xf numFmtId="44" fontId="22" fillId="11" borderId="58" xfId="2" applyFont="1" applyFill="1" applyBorder="1" applyProtection="1">
      <protection hidden="1"/>
    </xf>
    <xf numFmtId="0" fontId="22" fillId="12" borderId="58" xfId="11" applyFont="1" applyFill="1" applyBorder="1" applyProtection="1">
      <protection hidden="1"/>
    </xf>
    <xf numFmtId="0" fontId="22" fillId="6" borderId="58" xfId="11" applyFont="1" applyFill="1" applyBorder="1" applyProtection="1">
      <protection hidden="1"/>
    </xf>
    <xf numFmtId="0" fontId="0" fillId="0" borderId="67" xfId="0" applyBorder="1" applyProtection="1">
      <protection hidden="1"/>
    </xf>
    <xf numFmtId="0" fontId="0" fillId="0" borderId="39" xfId="0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quotePrefix="1" applyProtection="1">
      <protection hidden="1"/>
    </xf>
    <xf numFmtId="43" fontId="0" fillId="0" borderId="0" xfId="1" applyFont="1" applyBorder="1" applyProtection="1">
      <protection hidden="1"/>
    </xf>
    <xf numFmtId="0" fontId="16" fillId="0" borderId="79" xfId="0" applyFont="1" applyBorder="1" applyProtection="1">
      <protection hidden="1"/>
    </xf>
    <xf numFmtId="0" fontId="15" fillId="3" borderId="0" xfId="0" applyFont="1" applyFill="1"/>
    <xf numFmtId="0" fontId="4" fillId="3" borderId="76" xfId="0" applyFont="1" applyFill="1" applyBorder="1"/>
    <xf numFmtId="0" fontId="4" fillId="3" borderId="77" xfId="0" applyFont="1" applyFill="1" applyBorder="1" applyAlignment="1">
      <alignment horizontal="left"/>
    </xf>
    <xf numFmtId="4" fontId="4" fillId="3" borderId="78" xfId="0" applyNumberFormat="1" applyFont="1" applyFill="1" applyBorder="1" applyProtection="1">
      <protection hidden="1"/>
    </xf>
    <xf numFmtId="0" fontId="56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 vertical="top" wrapText="1"/>
      <protection hidden="1"/>
    </xf>
    <xf numFmtId="165" fontId="56" fillId="0" borderId="0" xfId="0" applyNumberFormat="1" applyFont="1" applyAlignment="1" applyProtection="1">
      <alignment horizontal="center" vertical="center"/>
      <protection hidden="1"/>
    </xf>
    <xf numFmtId="0" fontId="69" fillId="0" borderId="0" xfId="0" applyFont="1" applyAlignment="1" applyProtection="1">
      <alignment horizontal="center" vertical="top" wrapText="1"/>
      <protection hidden="1"/>
    </xf>
    <xf numFmtId="44" fontId="46" fillId="0" borderId="0" xfId="2" applyFont="1" applyFill="1" applyBorder="1" applyAlignment="1" applyProtection="1">
      <alignment horizontal="center"/>
      <protection hidden="1"/>
    </xf>
    <xf numFmtId="0" fontId="30" fillId="6" borderId="69" xfId="0" applyFont="1" applyFill="1" applyBorder="1" applyAlignment="1" applyProtection="1">
      <alignment horizontal="center"/>
      <protection hidden="1"/>
    </xf>
    <xf numFmtId="4" fontId="30" fillId="6" borderId="69" xfId="0" applyNumberFormat="1" applyFont="1" applyFill="1" applyBorder="1" applyProtection="1">
      <protection hidden="1"/>
    </xf>
    <xf numFmtId="0" fontId="30" fillId="54" borderId="69" xfId="0" applyFont="1" applyFill="1" applyBorder="1" applyAlignment="1" applyProtection="1">
      <alignment horizontal="center"/>
      <protection hidden="1"/>
    </xf>
    <xf numFmtId="4" fontId="30" fillId="54" borderId="69" xfId="0" applyNumberFormat="1" applyFont="1" applyFill="1" applyBorder="1" applyProtection="1">
      <protection hidden="1"/>
    </xf>
    <xf numFmtId="0" fontId="30" fillId="6" borderId="69" xfId="0" applyFont="1" applyFill="1" applyBorder="1" applyAlignment="1" applyProtection="1">
      <alignment horizontal="center" wrapText="1"/>
      <protection hidden="1"/>
    </xf>
    <xf numFmtId="0" fontId="30" fillId="0" borderId="69" xfId="0" applyFont="1" applyBorder="1" applyAlignment="1" applyProtection="1">
      <alignment horizontal="center"/>
      <protection hidden="1"/>
    </xf>
    <xf numFmtId="4" fontId="30" fillId="0" borderId="69" xfId="0" applyNumberFormat="1" applyFont="1" applyBorder="1" applyProtection="1">
      <protection hidden="1"/>
    </xf>
    <xf numFmtId="4" fontId="30" fillId="0" borderId="74" xfId="0" applyNumberFormat="1" applyFont="1" applyBorder="1" applyProtection="1">
      <protection hidden="1"/>
    </xf>
    <xf numFmtId="0" fontId="0" fillId="56" borderId="0" xfId="0" applyFill="1"/>
    <xf numFmtId="15" fontId="0" fillId="0" borderId="0" xfId="0" applyNumberFormat="1" applyProtection="1">
      <protection hidden="1"/>
    </xf>
    <xf numFmtId="0" fontId="2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8" fillId="0" borderId="0" xfId="0" applyFont="1" applyAlignment="1" applyProtection="1">
      <alignment horizontal="left" vertical="top" indent="2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0" fillId="55" borderId="0" xfId="0" applyFill="1" applyProtection="1">
      <protection hidden="1"/>
    </xf>
    <xf numFmtId="0" fontId="64" fillId="0" borderId="0" xfId="0" applyFont="1" applyProtection="1">
      <protection hidden="1"/>
    </xf>
    <xf numFmtId="0" fontId="2" fillId="0" borderId="0" xfId="0" applyFont="1" applyAlignment="1" applyProtection="1">
      <alignment horizontal="right" vertical="top" textRotation="90"/>
      <protection hidden="1"/>
    </xf>
    <xf numFmtId="0" fontId="58" fillId="0" borderId="0" xfId="0" applyFont="1" applyProtection="1">
      <protection hidden="1"/>
    </xf>
    <xf numFmtId="0" fontId="45" fillId="0" borderId="0" xfId="0" applyFont="1" applyProtection="1">
      <protection hidden="1"/>
    </xf>
    <xf numFmtId="0" fontId="4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44" fontId="4" fillId="0" borderId="0" xfId="0" applyNumberFormat="1" applyFont="1" applyProtection="1">
      <protection hidden="1"/>
    </xf>
    <xf numFmtId="0" fontId="71" fillId="0" borderId="0" xfId="0" applyFont="1" applyProtection="1">
      <protection locked="0" hidden="1"/>
    </xf>
    <xf numFmtId="44" fontId="0" fillId="0" borderId="0" xfId="2" applyFont="1" applyProtection="1">
      <protection hidden="1"/>
    </xf>
    <xf numFmtId="0" fontId="30" fillId="0" borderId="74" xfId="0" applyFont="1" applyBorder="1" applyAlignment="1" applyProtection="1">
      <alignment horizontal="center"/>
      <protection hidden="1"/>
    </xf>
    <xf numFmtId="0" fontId="28" fillId="0" borderId="72" xfId="0" applyFont="1" applyBorder="1" applyProtection="1">
      <protection hidden="1"/>
    </xf>
    <xf numFmtId="0" fontId="29" fillId="14" borderId="83" xfId="0" applyFont="1" applyFill="1" applyBorder="1" applyAlignment="1" applyProtection="1">
      <alignment horizontal="center" vertical="center"/>
      <protection hidden="1"/>
    </xf>
    <xf numFmtId="0" fontId="29" fillId="6" borderId="83" xfId="0" applyFont="1" applyFill="1" applyBorder="1" applyAlignment="1" applyProtection="1">
      <alignment horizontal="center" vertical="center"/>
      <protection hidden="1"/>
    </xf>
    <xf numFmtId="0" fontId="29" fillId="6" borderId="84" xfId="0" applyFont="1" applyFill="1" applyBorder="1" applyAlignment="1" applyProtection="1">
      <alignment horizontal="center" vertical="center"/>
      <protection hidden="1"/>
    </xf>
    <xf numFmtId="4" fontId="5" fillId="14" borderId="60" xfId="0" applyNumberFormat="1" applyFont="1" applyFill="1" applyBorder="1" applyProtection="1">
      <protection locked="0"/>
    </xf>
    <xf numFmtId="4" fontId="5" fillId="14" borderId="61" xfId="0" applyNumberFormat="1" applyFont="1" applyFill="1" applyBorder="1" applyProtection="1">
      <protection locked="0"/>
    </xf>
    <xf numFmtId="4" fontId="5" fillId="14" borderId="62" xfId="0" applyNumberFormat="1" applyFont="1" applyFill="1" applyBorder="1" applyProtection="1">
      <protection locked="0"/>
    </xf>
    <xf numFmtId="4" fontId="22" fillId="53" borderId="0" xfId="11" applyNumberFormat="1" applyFont="1" applyFill="1" applyProtection="1">
      <protection hidden="1"/>
    </xf>
    <xf numFmtId="4" fontId="22" fillId="53" borderId="45" xfId="11" applyNumberFormat="1" applyFont="1" applyFill="1" applyBorder="1" applyProtection="1">
      <protection hidden="1"/>
    </xf>
    <xf numFmtId="0" fontId="16" fillId="0" borderId="16" xfId="0" applyFont="1" applyBorder="1" applyProtection="1">
      <protection hidden="1"/>
    </xf>
    <xf numFmtId="0" fontId="60" fillId="6" borderId="16" xfId="0" applyFont="1" applyFill="1" applyBorder="1" applyProtection="1">
      <protection hidden="1"/>
    </xf>
    <xf numFmtId="169" fontId="22" fillId="6" borderId="16" xfId="11" applyNumberFormat="1" applyFont="1" applyFill="1" applyBorder="1" applyProtection="1">
      <protection hidden="1"/>
    </xf>
    <xf numFmtId="0" fontId="60" fillId="7" borderId="16" xfId="0" applyFont="1" applyFill="1" applyBorder="1" applyProtection="1">
      <protection hidden="1"/>
    </xf>
    <xf numFmtId="0" fontId="22" fillId="6" borderId="16" xfId="11" applyFont="1" applyFill="1" applyBorder="1" applyProtection="1">
      <protection hidden="1"/>
    </xf>
    <xf numFmtId="0" fontId="60" fillId="0" borderId="16" xfId="0" applyFont="1" applyBorder="1" applyProtection="1">
      <protection hidden="1"/>
    </xf>
    <xf numFmtId="0" fontId="16" fillId="0" borderId="16" xfId="11" applyBorder="1" applyProtection="1">
      <protection hidden="1"/>
    </xf>
    <xf numFmtId="0" fontId="60" fillId="7" borderId="16" xfId="11" applyFont="1" applyFill="1" applyBorder="1" applyProtection="1">
      <protection hidden="1"/>
    </xf>
    <xf numFmtId="0" fontId="53" fillId="7" borderId="16" xfId="11" applyFont="1" applyFill="1" applyBorder="1" applyProtection="1">
      <protection hidden="1"/>
    </xf>
    <xf numFmtId="0" fontId="60" fillId="0" borderId="16" xfId="11" applyFont="1" applyBorder="1" applyProtection="1">
      <protection hidden="1"/>
    </xf>
    <xf numFmtId="0" fontId="53" fillId="0" borderId="16" xfId="11" applyFont="1" applyBorder="1" applyProtection="1">
      <protection hidden="1"/>
    </xf>
    <xf numFmtId="0" fontId="60" fillId="6" borderId="16" xfId="11" applyFont="1" applyFill="1" applyBorder="1" applyProtection="1">
      <protection hidden="1"/>
    </xf>
    <xf numFmtId="0" fontId="22" fillId="7" borderId="16" xfId="11" applyFont="1" applyFill="1" applyBorder="1" applyProtection="1">
      <protection hidden="1"/>
    </xf>
    <xf numFmtId="0" fontId="22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169" fontId="0" fillId="0" borderId="16" xfId="0" applyNumberFormat="1" applyBorder="1" applyProtection="1">
      <protection hidden="1"/>
    </xf>
    <xf numFmtId="0" fontId="23" fillId="0" borderId="16" xfId="0" applyFont="1" applyBorder="1" applyProtection="1">
      <protection hidden="1"/>
    </xf>
    <xf numFmtId="0" fontId="63" fillId="7" borderId="16" xfId="11" applyFont="1" applyFill="1" applyBorder="1" applyProtection="1">
      <protection hidden="1"/>
    </xf>
    <xf numFmtId="0" fontId="18" fillId="6" borderId="16" xfId="11" applyFont="1" applyFill="1" applyBorder="1" applyAlignment="1" applyProtection="1">
      <alignment horizontal="center" wrapText="1"/>
      <protection hidden="1"/>
    </xf>
    <xf numFmtId="0" fontId="0" fillId="0" borderId="16" xfId="0" applyBorder="1" applyAlignment="1" applyProtection="1">
      <alignment wrapText="1"/>
      <protection hidden="1"/>
    </xf>
    <xf numFmtId="0" fontId="16" fillId="0" borderId="16" xfId="0" applyFont="1" applyBorder="1" applyAlignment="1" applyProtection="1">
      <alignment wrapText="1"/>
      <protection hidden="1"/>
    </xf>
    <xf numFmtId="0" fontId="16" fillId="0" borderId="19" xfId="11" applyBorder="1" applyProtection="1">
      <protection hidden="1"/>
    </xf>
    <xf numFmtId="43" fontId="22" fillId="0" borderId="16" xfId="12" applyFont="1" applyFill="1" applyBorder="1" applyProtection="1">
      <protection hidden="1"/>
    </xf>
    <xf numFmtId="168" fontId="22" fillId="0" borderId="16" xfId="11" applyNumberFormat="1" applyFont="1" applyBorder="1" applyProtection="1">
      <protection hidden="1"/>
    </xf>
    <xf numFmtId="4" fontId="22" fillId="0" borderId="16" xfId="11" applyNumberFormat="1" applyFont="1" applyBorder="1" applyProtection="1">
      <protection hidden="1"/>
    </xf>
    <xf numFmtId="43" fontId="54" fillId="0" borderId="16" xfId="12" applyFont="1" applyFill="1" applyBorder="1" applyProtection="1">
      <protection hidden="1"/>
    </xf>
    <xf numFmtId="0" fontId="54" fillId="0" borderId="16" xfId="11" applyFont="1" applyBorder="1" applyProtection="1">
      <protection hidden="1"/>
    </xf>
    <xf numFmtId="15" fontId="18" fillId="11" borderId="16" xfId="11" applyNumberFormat="1" applyFont="1" applyFill="1" applyBorder="1" applyProtection="1">
      <protection hidden="1"/>
    </xf>
    <xf numFmtId="0" fontId="59" fillId="0" borderId="16" xfId="0" applyFont="1" applyBorder="1" applyProtection="1">
      <protection hidden="1"/>
    </xf>
    <xf numFmtId="0" fontId="16" fillId="15" borderId="16" xfId="11" applyFill="1" applyBorder="1" applyProtection="1">
      <protection hidden="1"/>
    </xf>
    <xf numFmtId="0" fontId="0" fillId="15" borderId="16" xfId="0" applyFill="1" applyBorder="1" applyProtection="1">
      <protection hidden="1"/>
    </xf>
    <xf numFmtId="0" fontId="0" fillId="50" borderId="16" xfId="0" applyFill="1" applyBorder="1" applyAlignment="1" applyProtection="1">
      <alignment horizontal="center"/>
      <protection hidden="1"/>
    </xf>
    <xf numFmtId="0" fontId="16" fillId="15" borderId="19" xfId="11" applyFill="1" applyBorder="1" applyProtection="1">
      <protection hidden="1"/>
    </xf>
    <xf numFmtId="0" fontId="47" fillId="15" borderId="19" xfId="11" applyFont="1" applyFill="1" applyBorder="1" applyProtection="1">
      <protection hidden="1"/>
    </xf>
    <xf numFmtId="0" fontId="0" fillId="7" borderId="19" xfId="0" applyFill="1" applyBorder="1" applyProtection="1">
      <protection hidden="1"/>
    </xf>
    <xf numFmtId="4" fontId="0" fillId="0" borderId="19" xfId="0" applyNumberFormat="1" applyBorder="1" applyProtection="1">
      <protection hidden="1"/>
    </xf>
    <xf numFmtId="0" fontId="0" fillId="50" borderId="19" xfId="0" applyFill="1" applyBorder="1" applyAlignment="1" applyProtection="1">
      <alignment horizontal="center"/>
      <protection hidden="1"/>
    </xf>
    <xf numFmtId="0" fontId="0" fillId="50" borderId="90" xfId="0" applyFill="1" applyBorder="1" applyAlignment="1" applyProtection="1">
      <alignment horizontal="center"/>
      <protection hidden="1"/>
    </xf>
    <xf numFmtId="0" fontId="0" fillId="50" borderId="91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right"/>
      <protection hidden="1"/>
    </xf>
    <xf numFmtId="4" fontId="0" fillId="0" borderId="16" xfId="0" applyNumberFormat="1" applyBorder="1" applyAlignment="1" applyProtection="1">
      <alignment horizontal="right"/>
      <protection hidden="1"/>
    </xf>
    <xf numFmtId="4" fontId="0" fillId="7" borderId="16" xfId="0" applyNumberFormat="1" applyFill="1" applyBorder="1" applyAlignment="1" applyProtection="1">
      <alignment horizontal="right"/>
      <protection hidden="1"/>
    </xf>
    <xf numFmtId="0" fontId="18" fillId="6" borderId="16" xfId="11" applyFont="1" applyFill="1" applyBorder="1" applyProtection="1">
      <protection hidden="1"/>
    </xf>
    <xf numFmtId="44" fontId="22" fillId="7" borderId="16" xfId="13" applyFont="1" applyFill="1" applyBorder="1" applyProtection="1">
      <protection hidden="1"/>
    </xf>
    <xf numFmtId="0" fontId="55" fillId="52" borderId="14" xfId="11" applyFont="1" applyFill="1" applyBorder="1" applyAlignment="1">
      <alignment horizontal="center"/>
    </xf>
    <xf numFmtId="0" fontId="21" fillId="6" borderId="19" xfId="11" applyFont="1" applyFill="1" applyBorder="1" applyAlignment="1" applyProtection="1">
      <alignment horizontal="center"/>
      <protection hidden="1"/>
    </xf>
    <xf numFmtId="0" fontId="21" fillId="6" borderId="92" xfId="11" applyFont="1" applyFill="1" applyBorder="1" applyAlignment="1" applyProtection="1">
      <alignment horizontal="center"/>
      <protection hidden="1"/>
    </xf>
    <xf numFmtId="0" fontId="55" fillId="52" borderId="15" xfId="11" applyFont="1" applyFill="1" applyBorder="1" applyAlignment="1" applyProtection="1">
      <alignment horizontal="center"/>
      <protection locked="0"/>
    </xf>
    <xf numFmtId="0" fontId="21" fillId="6" borderId="18" xfId="11" applyFont="1" applyFill="1" applyBorder="1" applyProtection="1">
      <protection hidden="1"/>
    </xf>
    <xf numFmtId="0" fontId="21" fillId="6" borderId="19" xfId="11" applyFont="1" applyFill="1" applyBorder="1" applyAlignment="1" applyProtection="1">
      <alignment horizontal="center" wrapText="1"/>
      <protection hidden="1"/>
    </xf>
    <xf numFmtId="0" fontId="55" fillId="52" borderId="0" xfId="11" applyFont="1" applyFill="1" applyAlignment="1">
      <alignment horizontal="center"/>
    </xf>
    <xf numFmtId="0" fontId="21" fillId="6" borderId="19" xfId="11" applyFont="1" applyFill="1" applyBorder="1" applyAlignment="1" applyProtection="1">
      <alignment horizontal="center" vertical="center" wrapText="1"/>
      <protection hidden="1"/>
    </xf>
    <xf numFmtId="0" fontId="21" fillId="6" borderId="92" xfId="11" applyFont="1" applyFill="1" applyBorder="1" applyAlignment="1" applyProtection="1">
      <alignment horizontal="center" wrapText="1"/>
      <protection hidden="1"/>
    </xf>
    <xf numFmtId="43" fontId="21" fillId="6" borderId="18" xfId="12" applyFont="1" applyFill="1" applyBorder="1" applyAlignment="1" applyProtection="1">
      <alignment horizontal="center"/>
      <protection hidden="1"/>
    </xf>
    <xf numFmtId="43" fontId="21" fillId="6" borderId="19" xfId="12" applyFont="1" applyFill="1" applyBorder="1" applyAlignment="1" applyProtection="1">
      <alignment horizontal="center"/>
      <protection hidden="1"/>
    </xf>
    <xf numFmtId="43" fontId="21" fillId="6" borderId="92" xfId="12" quotePrefix="1" applyFont="1" applyFill="1" applyBorder="1" applyAlignment="1" applyProtection="1">
      <alignment horizontal="center"/>
      <protection hidden="1"/>
    </xf>
    <xf numFmtId="0" fontId="21" fillId="6" borderId="18" xfId="11" applyFont="1" applyFill="1" applyBorder="1" applyAlignment="1" applyProtection="1">
      <alignment horizontal="center" wrapText="1"/>
      <protection hidden="1"/>
    </xf>
    <xf numFmtId="0" fontId="55" fillId="52" borderId="93" xfId="11" applyFont="1" applyFill="1" applyBorder="1" applyAlignment="1">
      <alignment horizontal="center"/>
    </xf>
    <xf numFmtId="43" fontId="22" fillId="0" borderId="16" xfId="1" applyFont="1" applyFill="1" applyBorder="1" applyProtection="1">
      <protection hidden="1"/>
    </xf>
    <xf numFmtId="0" fontId="0" fillId="0" borderId="79" xfId="0" applyBorder="1" applyProtection="1">
      <protection hidden="1"/>
    </xf>
    <xf numFmtId="0" fontId="16" fillId="0" borderId="35" xfId="0" applyFont="1" applyBorder="1" applyProtection="1">
      <protection hidden="1"/>
    </xf>
    <xf numFmtId="168" fontId="22" fillId="0" borderId="92" xfId="11" applyNumberFormat="1" applyFont="1" applyBorder="1" applyProtection="1">
      <protection hidden="1"/>
    </xf>
    <xf numFmtId="4" fontId="22" fillId="0" borderId="92" xfId="11" applyNumberFormat="1" applyFont="1" applyBorder="1" applyProtection="1">
      <protection hidden="1"/>
    </xf>
    <xf numFmtId="0" fontId="22" fillId="0" borderId="92" xfId="11" applyFont="1" applyBorder="1" applyProtection="1">
      <protection hidden="1"/>
    </xf>
    <xf numFmtId="0" fontId="22" fillId="6" borderId="92" xfId="11" applyFont="1" applyFill="1" applyBorder="1" applyProtection="1">
      <protection hidden="1"/>
    </xf>
    <xf numFmtId="15" fontId="18" fillId="13" borderId="92" xfId="11" applyNumberFormat="1" applyFont="1" applyFill="1" applyBorder="1" applyProtection="1">
      <protection hidden="1"/>
    </xf>
    <xf numFmtId="0" fontId="0" fillId="0" borderId="92" xfId="0" applyBorder="1" applyProtection="1">
      <protection hidden="1"/>
    </xf>
    <xf numFmtId="0" fontId="16" fillId="0" borderId="59" xfId="0" applyFont="1" applyBorder="1" applyProtection="1">
      <protection hidden="1"/>
    </xf>
    <xf numFmtId="0" fontId="0" fillId="0" borderId="59" xfId="0" applyBorder="1" applyProtection="1">
      <protection hidden="1"/>
    </xf>
    <xf numFmtId="0" fontId="0" fillId="0" borderId="37" xfId="0" applyBorder="1" applyProtection="1">
      <protection hidden="1"/>
    </xf>
    <xf numFmtId="0" fontId="16" fillId="0" borderId="37" xfId="0" applyFont="1" applyBorder="1" applyProtection="1">
      <protection hidden="1"/>
    </xf>
    <xf numFmtId="0" fontId="53" fillId="0" borderId="19" xfId="11" applyFont="1" applyBorder="1" applyProtection="1">
      <protection hidden="1"/>
    </xf>
    <xf numFmtId="0" fontId="47" fillId="0" borderId="19" xfId="11" applyFont="1" applyBorder="1" applyProtection="1">
      <protection hidden="1"/>
    </xf>
    <xf numFmtId="0" fontId="0" fillId="0" borderId="19" xfId="0" applyBorder="1" applyProtection="1">
      <protection hidden="1"/>
    </xf>
    <xf numFmtId="0" fontId="18" fillId="0" borderId="16" xfId="11" applyFont="1" applyBorder="1" applyProtection="1">
      <protection hidden="1"/>
    </xf>
    <xf numFmtId="44" fontId="16" fillId="0" borderId="16" xfId="11" applyNumberFormat="1" applyBorder="1" applyProtection="1">
      <protection hidden="1"/>
    </xf>
    <xf numFmtId="0" fontId="22" fillId="6" borderId="16" xfId="0" applyFont="1" applyFill="1" applyBorder="1" applyProtection="1">
      <protection hidden="1"/>
    </xf>
    <xf numFmtId="0" fontId="22" fillId="7" borderId="16" xfId="0" applyFont="1" applyFill="1" applyBorder="1" applyProtection="1">
      <protection hidden="1"/>
    </xf>
    <xf numFmtId="2" fontId="22" fillId="7" borderId="16" xfId="11" applyNumberFormat="1" applyFont="1" applyFill="1" applyBorder="1" applyProtection="1">
      <protection hidden="1"/>
    </xf>
    <xf numFmtId="0" fontId="23" fillId="7" borderId="16" xfId="0" applyFont="1" applyFill="1" applyBorder="1" applyProtection="1">
      <protection hidden="1"/>
    </xf>
    <xf numFmtId="44" fontId="22" fillId="11" borderId="49" xfId="2" applyFont="1" applyFill="1" applyBorder="1" applyProtection="1">
      <protection hidden="1"/>
    </xf>
    <xf numFmtId="15" fontId="18" fillId="0" borderId="44" xfId="11" applyNumberFormat="1" applyFont="1" applyBorder="1" applyProtection="1">
      <protection hidden="1"/>
    </xf>
    <xf numFmtId="44" fontId="0" fillId="0" borderId="0" xfId="0" applyNumberFormat="1" applyProtection="1">
      <protection hidden="1"/>
    </xf>
    <xf numFmtId="44" fontId="30" fillId="0" borderId="0" xfId="2" applyFont="1" applyFill="1" applyBorder="1" applyAlignment="1" applyProtection="1">
      <protection hidden="1"/>
    </xf>
    <xf numFmtId="0" fontId="0" fillId="14" borderId="0" xfId="0" applyFill="1" applyProtection="1">
      <protection locked="0" hidden="1"/>
    </xf>
    <xf numFmtId="0" fontId="0" fillId="14" borderId="0" xfId="0" applyFill="1" applyProtection="1">
      <protection hidden="1"/>
    </xf>
    <xf numFmtId="43" fontId="0" fillId="14" borderId="0" xfId="1" applyFont="1" applyFill="1" applyBorder="1" applyProtection="1">
      <protection hidden="1"/>
    </xf>
    <xf numFmtId="0" fontId="49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 hidden="1"/>
    </xf>
    <xf numFmtId="0" fontId="2" fillId="3" borderId="98" xfId="0" applyFont="1" applyFill="1" applyBorder="1" applyAlignment="1">
      <alignment horizontal="left"/>
    </xf>
    <xf numFmtId="0" fontId="0" fillId="3" borderId="99" xfId="0" applyFill="1" applyBorder="1" applyAlignment="1">
      <alignment horizontal="left"/>
    </xf>
    <xf numFmtId="0" fontId="0" fillId="3" borderId="99" xfId="0" applyFill="1" applyBorder="1" applyProtection="1">
      <protection hidden="1"/>
    </xf>
    <xf numFmtId="0" fontId="2" fillId="3" borderId="100" xfId="0" applyFont="1" applyFill="1" applyBorder="1" applyAlignment="1" applyProtection="1">
      <alignment horizontal="center"/>
      <protection hidden="1"/>
    </xf>
    <xf numFmtId="0" fontId="2" fillId="3" borderId="102" xfId="0" applyFont="1" applyFill="1" applyBorder="1" applyAlignment="1">
      <alignment horizontal="left"/>
    </xf>
    <xf numFmtId="0" fontId="0" fillId="3" borderId="103" xfId="0" applyFill="1" applyBorder="1"/>
    <xf numFmtId="0" fontId="3" fillId="3" borderId="103" xfId="0" applyFont="1" applyFill="1" applyBorder="1" applyAlignment="1" applyProtection="1">
      <alignment horizontal="left"/>
      <protection hidden="1"/>
    </xf>
    <xf numFmtId="0" fontId="0" fillId="3" borderId="104" xfId="0" applyFill="1" applyBorder="1" applyProtection="1">
      <protection hidden="1"/>
    </xf>
    <xf numFmtId="44" fontId="42" fillId="3" borderId="101" xfId="0" applyNumberFormat="1" applyFont="1" applyFill="1" applyBorder="1" applyAlignment="1" applyProtection="1">
      <alignment horizontal="left"/>
      <protection hidden="1"/>
    </xf>
    <xf numFmtId="0" fontId="6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horizontal="left" vertical="center" indent="6"/>
    </xf>
    <xf numFmtId="0" fontId="5" fillId="0" borderId="0" xfId="0" applyFont="1"/>
    <xf numFmtId="0" fontId="0" fillId="57" borderId="0" xfId="0" applyFill="1"/>
    <xf numFmtId="0" fontId="0" fillId="57" borderId="0" xfId="0" applyFill="1" applyAlignment="1">
      <alignment horizontal="left"/>
    </xf>
    <xf numFmtId="0" fontId="7" fillId="57" borderId="0" xfId="0" applyFont="1" applyFill="1" applyAlignment="1">
      <alignment horizontal="left"/>
    </xf>
    <xf numFmtId="0" fontId="11" fillId="57" borderId="0" xfId="0" applyFont="1" applyFill="1" applyAlignment="1">
      <alignment horizontal="center"/>
    </xf>
    <xf numFmtId="0" fontId="6" fillId="57" borderId="0" xfId="0" applyFont="1" applyFill="1" applyAlignment="1">
      <alignment horizontal="left"/>
    </xf>
    <xf numFmtId="0" fontId="2" fillId="57" borderId="0" xfId="0" applyFont="1" applyFill="1" applyAlignment="1">
      <alignment horizontal="left"/>
    </xf>
    <xf numFmtId="0" fontId="2" fillId="8" borderId="6" xfId="0" applyFont="1" applyFill="1" applyBorder="1" applyAlignment="1">
      <alignment horizontal="center"/>
    </xf>
    <xf numFmtId="0" fontId="2" fillId="8" borderId="6" xfId="0" applyFont="1" applyFill="1" applyBorder="1" applyAlignment="1" applyProtection="1">
      <alignment horizontal="center"/>
      <protection locked="0"/>
    </xf>
    <xf numFmtId="0" fontId="2" fillId="8" borderId="18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center"/>
    </xf>
    <xf numFmtId="0" fontId="3" fillId="8" borderId="7" xfId="0" applyFont="1" applyFill="1" applyBorder="1"/>
    <xf numFmtId="0" fontId="3" fillId="8" borderId="4" xfId="0" applyFont="1" applyFill="1" applyBorder="1" applyAlignment="1">
      <alignment horizontal="left"/>
    </xf>
    <xf numFmtId="0" fontId="2" fillId="8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18" xfId="0" applyFont="1" applyFill="1" applyBorder="1" applyAlignment="1">
      <alignment horizontal="center"/>
    </xf>
    <xf numFmtId="0" fontId="2" fillId="9" borderId="7" xfId="0" applyFont="1" applyFill="1" applyBorder="1"/>
    <xf numFmtId="43" fontId="14" fillId="58" borderId="13" xfId="1" applyFont="1" applyFill="1" applyBorder="1" applyProtection="1">
      <protection hidden="1"/>
    </xf>
    <xf numFmtId="0" fontId="6" fillId="57" borderId="0" xfId="0" applyFont="1" applyFill="1"/>
    <xf numFmtId="0" fontId="0" fillId="59" borderId="0" xfId="0" applyFill="1" applyProtection="1">
      <protection hidden="1"/>
    </xf>
    <xf numFmtId="0" fontId="64" fillId="59" borderId="0" xfId="0" applyFont="1" applyFill="1" applyProtection="1">
      <protection hidden="1"/>
    </xf>
    <xf numFmtId="0" fontId="0" fillId="0" borderId="0" xfId="0" applyAlignment="1">
      <alignment horizontal="center" vertical="center"/>
    </xf>
    <xf numFmtId="4" fontId="14" fillId="0" borderId="60" xfId="0" applyNumberFormat="1" applyFont="1" applyBorder="1" applyProtection="1">
      <protection hidden="1"/>
    </xf>
    <xf numFmtId="44" fontId="14" fillId="0" borderId="60" xfId="2" applyFont="1" applyFill="1" applyBorder="1" applyProtection="1">
      <protection hidden="1"/>
    </xf>
    <xf numFmtId="4" fontId="14" fillId="0" borderId="61" xfId="0" applyNumberFormat="1" applyFont="1" applyBorder="1" applyProtection="1">
      <protection hidden="1"/>
    </xf>
    <xf numFmtId="44" fontId="14" fillId="0" borderId="61" xfId="2" applyFont="1" applyFill="1" applyBorder="1" applyProtection="1">
      <protection hidden="1"/>
    </xf>
    <xf numFmtId="44" fontId="14" fillId="0" borderId="68" xfId="2" applyFont="1" applyFill="1" applyBorder="1" applyProtection="1">
      <protection hidden="1"/>
    </xf>
    <xf numFmtId="44" fontId="14" fillId="0" borderId="63" xfId="2" applyFont="1" applyFill="1" applyBorder="1" applyProtection="1">
      <protection hidden="1"/>
    </xf>
    <xf numFmtId="0" fontId="30" fillId="6" borderId="69" xfId="0" applyFont="1" applyFill="1" applyBorder="1" applyAlignment="1" applyProtection="1">
      <alignment horizontal="center" vertical="center"/>
      <protection hidden="1"/>
    </xf>
    <xf numFmtId="4" fontId="30" fillId="6" borderId="69" xfId="0" applyNumberFormat="1" applyFont="1" applyFill="1" applyBorder="1" applyAlignment="1" applyProtection="1">
      <alignment vertical="center"/>
      <protection hidden="1"/>
    </xf>
    <xf numFmtId="44" fontId="30" fillId="6" borderId="69" xfId="2" applyFont="1" applyFill="1" applyBorder="1" applyProtection="1">
      <protection hidden="1"/>
    </xf>
    <xf numFmtId="0" fontId="29" fillId="6" borderId="109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0" fillId="59" borderId="0" xfId="0" applyFill="1" applyProtection="1">
      <protection locked="0" hidden="1"/>
    </xf>
    <xf numFmtId="14" fontId="0" fillId="14" borderId="0" xfId="0" applyNumberFormat="1" applyFill="1" applyProtection="1">
      <protection locked="0" hidden="1"/>
    </xf>
    <xf numFmtId="0" fontId="4" fillId="61" borderId="2" xfId="0" applyFont="1" applyFill="1" applyBorder="1"/>
    <xf numFmtId="0" fontId="4" fillId="61" borderId="2" xfId="0" applyFont="1" applyFill="1" applyBorder="1" applyAlignment="1">
      <alignment horizontal="center"/>
    </xf>
    <xf numFmtId="4" fontId="13" fillId="61" borderId="2" xfId="0" applyNumberFormat="1" applyFont="1" applyFill="1" applyBorder="1" applyProtection="1">
      <protection hidden="1"/>
    </xf>
    <xf numFmtId="4" fontId="4" fillId="61" borderId="7" xfId="0" applyNumberFormat="1" applyFont="1" applyFill="1" applyBorder="1" applyProtection="1">
      <protection hidden="1"/>
    </xf>
    <xf numFmtId="44" fontId="4" fillId="61" borderId="2" xfId="2" applyFont="1" applyFill="1" applyBorder="1" applyProtection="1">
      <protection hidden="1"/>
    </xf>
    <xf numFmtId="0" fontId="4" fillId="61" borderId="2" xfId="0" applyFont="1" applyFill="1" applyBorder="1" applyAlignment="1" applyProtection="1">
      <alignment horizontal="left" indent="1"/>
      <protection hidden="1"/>
    </xf>
    <xf numFmtId="166" fontId="13" fillId="61" borderId="2" xfId="1" applyNumberFormat="1" applyFont="1" applyFill="1" applyBorder="1" applyAlignment="1" applyProtection="1">
      <alignment horizontal="center" vertical="center"/>
      <protection hidden="1"/>
    </xf>
    <xf numFmtId="44" fontId="13" fillId="61" borderId="2" xfId="2" applyFont="1" applyFill="1" applyBorder="1" applyProtection="1">
      <protection hidden="1"/>
    </xf>
    <xf numFmtId="0" fontId="4" fillId="63" borderId="2" xfId="0" applyFont="1" applyFill="1" applyBorder="1" applyAlignment="1">
      <alignment horizontal="right" vertical="top"/>
    </xf>
    <xf numFmtId="0" fontId="4" fillId="63" borderId="6" xfId="0" applyFont="1" applyFill="1" applyBorder="1" applyAlignment="1">
      <alignment horizontal="right" vertical="top"/>
    </xf>
    <xf numFmtId="44" fontId="13" fillId="61" borderId="2" xfId="2" applyFont="1" applyFill="1" applyBorder="1" applyAlignment="1" applyProtection="1">
      <protection hidden="1"/>
    </xf>
    <xf numFmtId="0" fontId="4" fillId="63" borderId="11" xfId="0" applyFont="1" applyFill="1" applyBorder="1" applyAlignment="1">
      <alignment horizontal="right" vertical="top"/>
    </xf>
    <xf numFmtId="0" fontId="4" fillId="63" borderId="8" xfId="0" applyFont="1" applyFill="1" applyBorder="1" applyAlignment="1">
      <alignment horizontal="right" vertical="top"/>
    </xf>
    <xf numFmtId="0" fontId="4" fillId="63" borderId="7" xfId="0" applyFont="1" applyFill="1" applyBorder="1" applyAlignment="1">
      <alignment horizontal="right" vertical="top"/>
    </xf>
    <xf numFmtId="166" fontId="13" fillId="61" borderId="0" xfId="1" applyNumberFormat="1" applyFont="1" applyFill="1" applyBorder="1" applyAlignment="1" applyProtection="1">
      <alignment horizontal="center" vertical="center"/>
      <protection hidden="1"/>
    </xf>
    <xf numFmtId="0" fontId="9" fillId="61" borderId="0" xfId="0" applyFont="1" applyFill="1" applyAlignment="1">
      <alignment horizontal="left" vertical="center"/>
    </xf>
    <xf numFmtId="0" fontId="0" fillId="61" borderId="0" xfId="0" applyFill="1" applyAlignment="1" applyProtection="1">
      <alignment horizontal="left"/>
      <protection hidden="1"/>
    </xf>
    <xf numFmtId="0" fontId="0" fillId="61" borderId="0" xfId="0" applyFill="1"/>
    <xf numFmtId="166" fontId="13" fillId="61" borderId="111" xfId="1" applyNumberFormat="1" applyFont="1" applyFill="1" applyBorder="1" applyAlignment="1" applyProtection="1">
      <alignment horizontal="center" vertical="center"/>
      <protection hidden="1"/>
    </xf>
    <xf numFmtId="166" fontId="13" fillId="61" borderId="112" xfId="1" applyNumberFormat="1" applyFont="1" applyFill="1" applyBorder="1" applyAlignment="1" applyProtection="1">
      <alignment horizontal="center" vertical="center"/>
      <protection hidden="1"/>
    </xf>
    <xf numFmtId="0" fontId="3" fillId="61" borderId="110" xfId="0" applyFont="1" applyFill="1" applyBorder="1" applyAlignment="1" applyProtection="1">
      <alignment horizontal="center" vertical="center"/>
      <protection hidden="1"/>
    </xf>
    <xf numFmtId="44" fontId="22" fillId="11" borderId="0" xfId="2" applyFont="1" applyFill="1" applyBorder="1" applyProtection="1">
      <protection hidden="1"/>
    </xf>
    <xf numFmtId="0" fontId="22" fillId="12" borderId="92" xfId="11" applyFont="1" applyFill="1" applyBorder="1" applyProtection="1">
      <protection hidden="1"/>
    </xf>
    <xf numFmtId="0" fontId="22" fillId="0" borderId="0" xfId="11" applyFont="1" applyProtection="1">
      <protection hidden="1"/>
    </xf>
    <xf numFmtId="44" fontId="22" fillId="11" borderId="0" xfId="2" applyFont="1" applyFill="1" applyBorder="1"/>
    <xf numFmtId="0" fontId="84" fillId="0" borderId="60" xfId="0" applyFont="1" applyBorder="1" applyProtection="1">
      <protection hidden="1"/>
    </xf>
    <xf numFmtId="0" fontId="86" fillId="7" borderId="16" xfId="11" applyFont="1" applyFill="1" applyBorder="1" applyProtection="1">
      <protection hidden="1"/>
    </xf>
    <xf numFmtId="0" fontId="84" fillId="0" borderId="61" xfId="0" applyFont="1" applyBorder="1" applyProtection="1">
      <protection hidden="1"/>
    </xf>
    <xf numFmtId="0" fontId="88" fillId="7" borderId="16" xfId="11" applyFont="1" applyFill="1" applyBorder="1" applyProtection="1">
      <protection hidden="1"/>
    </xf>
    <xf numFmtId="0" fontId="89" fillId="0" borderId="0" xfId="0" applyFont="1" applyProtection="1">
      <protection hidden="1"/>
    </xf>
    <xf numFmtId="0" fontId="84" fillId="0" borderId="113" xfId="0" applyFont="1" applyBorder="1" applyProtection="1">
      <protection hidden="1"/>
    </xf>
    <xf numFmtId="0" fontId="84" fillId="0" borderId="60" xfId="0" applyFont="1" applyBorder="1" applyAlignment="1" applyProtection="1">
      <alignment horizontal="left"/>
      <protection hidden="1"/>
    </xf>
    <xf numFmtId="167" fontId="30" fillId="0" borderId="0" xfId="2" applyNumberFormat="1" applyFont="1" applyFill="1" applyBorder="1" applyAlignment="1" applyProtection="1">
      <protection hidden="1"/>
    </xf>
    <xf numFmtId="166" fontId="28" fillId="0" borderId="0" xfId="1" applyNumberFormat="1" applyFont="1" applyFill="1" applyBorder="1" applyAlignment="1" applyProtection="1">
      <alignment horizontal="center" vertical="center"/>
      <protection hidden="1"/>
    </xf>
    <xf numFmtId="44" fontId="28" fillId="0" borderId="0" xfId="2" applyFont="1" applyFill="1" applyBorder="1" applyProtection="1">
      <protection hidden="1"/>
    </xf>
    <xf numFmtId="44" fontId="46" fillId="6" borderId="0" xfId="2" applyFont="1" applyFill="1" applyBorder="1" applyAlignment="1" applyProtection="1">
      <alignment horizontal="right"/>
      <protection hidden="1"/>
    </xf>
    <xf numFmtId="0" fontId="66" fillId="0" borderId="0" xfId="0" applyFont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/>
      <protection hidden="1"/>
    </xf>
    <xf numFmtId="44" fontId="6" fillId="0" borderId="0" xfId="2" applyFont="1" applyAlignment="1">
      <alignment horizontal="center" vertical="center" wrapText="1"/>
    </xf>
    <xf numFmtId="0" fontId="27" fillId="6" borderId="81" xfId="0" applyFont="1" applyFill="1" applyBorder="1" applyAlignment="1" applyProtection="1">
      <alignment horizontal="center" vertical="center" wrapText="1"/>
      <protection hidden="1"/>
    </xf>
    <xf numFmtId="0" fontId="27" fillId="6" borderId="81" xfId="0" applyFont="1" applyFill="1" applyBorder="1" applyAlignment="1" applyProtection="1">
      <alignment horizontal="center" vertical="center"/>
      <protection hidden="1"/>
    </xf>
    <xf numFmtId="0" fontId="29" fillId="6" borderId="82" xfId="0" applyFont="1" applyFill="1" applyBorder="1" applyAlignment="1" applyProtection="1">
      <alignment horizontal="center" vertical="center"/>
      <protection hidden="1"/>
    </xf>
    <xf numFmtId="0" fontId="27" fillId="6" borderId="82" xfId="0" applyFont="1" applyFill="1" applyBorder="1" applyAlignment="1" applyProtection="1">
      <alignment horizontal="center" vertical="center" wrapText="1"/>
      <protection hidden="1"/>
    </xf>
    <xf numFmtId="0" fontId="6" fillId="0" borderId="94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9" fillId="6" borderId="0" xfId="0" applyFont="1" applyFill="1" applyProtection="1"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49" fillId="6" borderId="0" xfId="0" applyFont="1" applyFill="1" applyAlignment="1" applyProtection="1">
      <alignment horizontal="left" vertical="center"/>
      <protection hidden="1"/>
    </xf>
    <xf numFmtId="166" fontId="30" fillId="6" borderId="69" xfId="1" applyNumberFormat="1" applyFont="1" applyFill="1" applyBorder="1" applyAlignment="1" applyProtection="1">
      <alignment horizontal="center" vertical="center"/>
      <protection hidden="1"/>
    </xf>
    <xf numFmtId="44" fontId="30" fillId="6" borderId="69" xfId="2" applyFont="1" applyFill="1" applyBorder="1" applyAlignment="1" applyProtection="1">
      <alignment horizontal="center" vertical="center"/>
      <protection hidden="1"/>
    </xf>
    <xf numFmtId="44" fontId="30" fillId="51" borderId="69" xfId="2" applyFont="1" applyFill="1" applyBorder="1" applyProtection="1">
      <protection hidden="1"/>
    </xf>
    <xf numFmtId="44" fontId="82" fillId="51" borderId="69" xfId="2" applyFont="1" applyFill="1" applyBorder="1" applyProtection="1">
      <protection hidden="1"/>
    </xf>
    <xf numFmtId="166" fontId="28" fillId="14" borderId="69" xfId="1" applyNumberFormat="1" applyFont="1" applyFill="1" applyBorder="1" applyAlignment="1" applyProtection="1">
      <alignment horizontal="center" vertical="center"/>
      <protection hidden="1"/>
    </xf>
    <xf numFmtId="166" fontId="30" fillId="6" borderId="0" xfId="1" applyNumberFormat="1" applyFont="1" applyFill="1" applyBorder="1" applyAlignment="1" applyProtection="1">
      <alignment horizontal="center" vertical="center"/>
      <protection hidden="1"/>
    </xf>
    <xf numFmtId="44" fontId="30" fillId="6" borderId="0" xfId="2" applyFont="1" applyFill="1" applyBorder="1" applyProtection="1">
      <protection hidden="1"/>
    </xf>
    <xf numFmtId="170" fontId="30" fillId="6" borderId="0" xfId="1" applyNumberFormat="1" applyFont="1" applyFill="1" applyBorder="1" applyAlignment="1" applyProtection="1">
      <alignment horizontal="center" vertical="center"/>
      <protection hidden="1"/>
    </xf>
    <xf numFmtId="166" fontId="30" fillId="51" borderId="69" xfId="1" applyNumberFormat="1" applyFont="1" applyFill="1" applyBorder="1" applyAlignment="1" applyProtection="1">
      <alignment horizontal="center" vertical="center"/>
      <protection hidden="1"/>
    </xf>
    <xf numFmtId="0" fontId="19" fillId="0" borderId="109" xfId="0" applyFont="1" applyBorder="1" applyAlignment="1" applyProtection="1">
      <alignment vertical="center"/>
      <protection hidden="1"/>
    </xf>
    <xf numFmtId="44" fontId="30" fillId="54" borderId="69" xfId="2" applyFont="1" applyFill="1" applyBorder="1" applyProtection="1">
      <protection hidden="1"/>
    </xf>
    <xf numFmtId="44" fontId="30" fillId="6" borderId="69" xfId="2" applyFont="1" applyFill="1" applyBorder="1" applyAlignment="1" applyProtection="1">
      <alignment vertical="center"/>
      <protection hidden="1"/>
    </xf>
    <xf numFmtId="166" fontId="30" fillId="6" borderId="74" xfId="1" applyNumberFormat="1" applyFont="1" applyFill="1" applyBorder="1" applyAlignment="1" applyProtection="1">
      <alignment horizontal="center" vertical="center"/>
      <protection hidden="1"/>
    </xf>
    <xf numFmtId="44" fontId="30" fillId="6" borderId="74" xfId="2" applyFont="1" applyFill="1" applyBorder="1" applyAlignment="1" applyProtection="1">
      <alignment horizontal="center" vertical="center"/>
      <protection hidden="1"/>
    </xf>
    <xf numFmtId="44" fontId="30" fillId="6" borderId="74" xfId="2" applyFont="1" applyFill="1" applyBorder="1" applyProtection="1">
      <protection hidden="1"/>
    </xf>
    <xf numFmtId="44" fontId="30" fillId="51" borderId="74" xfId="2" applyFont="1" applyFill="1" applyBorder="1" applyProtection="1">
      <protection hidden="1"/>
    </xf>
    <xf numFmtId="166" fontId="30" fillId="51" borderId="74" xfId="1" applyNumberFormat="1" applyFont="1" applyFill="1" applyBorder="1" applyAlignment="1" applyProtection="1">
      <alignment horizontal="center" vertical="center"/>
      <protection hidden="1"/>
    </xf>
    <xf numFmtId="166" fontId="28" fillId="14" borderId="74" xfId="1" applyNumberFormat="1" applyFont="1" applyFill="1" applyBorder="1" applyAlignment="1" applyProtection="1">
      <alignment horizontal="center" vertical="center"/>
      <protection hidden="1"/>
    </xf>
    <xf numFmtId="0" fontId="27" fillId="6" borderId="116" xfId="0" applyFont="1" applyFill="1" applyBorder="1" applyAlignment="1" applyProtection="1">
      <alignment horizontal="center" vertical="center"/>
      <protection hidden="1"/>
    </xf>
    <xf numFmtId="0" fontId="27" fillId="6" borderId="117" xfId="0" applyFont="1" applyFill="1" applyBorder="1" applyAlignment="1" applyProtection="1">
      <alignment horizontal="center" vertical="center"/>
      <protection hidden="1"/>
    </xf>
    <xf numFmtId="0" fontId="27" fillId="6" borderId="114" xfId="0" applyFont="1" applyFill="1" applyBorder="1" applyAlignment="1" applyProtection="1">
      <alignment horizontal="center" vertical="center"/>
      <protection hidden="1"/>
    </xf>
    <xf numFmtId="0" fontId="27" fillId="6" borderId="115" xfId="0" applyFont="1" applyFill="1" applyBorder="1" applyAlignment="1" applyProtection="1">
      <alignment horizontal="center" vertical="center"/>
      <protection hidden="1"/>
    </xf>
    <xf numFmtId="4" fontId="30" fillId="0" borderId="70" xfId="0" applyNumberFormat="1" applyFont="1" applyBorder="1" applyProtection="1">
      <protection hidden="1"/>
    </xf>
    <xf numFmtId="4" fontId="30" fillId="0" borderId="73" xfId="0" applyNumberFormat="1" applyFont="1" applyBorder="1" applyProtection="1">
      <protection hidden="1"/>
    </xf>
    <xf numFmtId="4" fontId="30" fillId="0" borderId="70" xfId="2" applyNumberFormat="1" applyFont="1" applyFill="1" applyBorder="1" applyAlignment="1" applyProtection="1">
      <protection hidden="1"/>
    </xf>
    <xf numFmtId="0" fontId="8" fillId="64" borderId="63" xfId="0" applyFont="1" applyFill="1" applyBorder="1" applyProtection="1">
      <protection hidden="1"/>
    </xf>
    <xf numFmtId="0" fontId="3" fillId="64" borderId="75" xfId="0" applyFont="1" applyFill="1" applyBorder="1" applyProtection="1">
      <protection hidden="1"/>
    </xf>
    <xf numFmtId="0" fontId="2" fillId="64" borderId="62" xfId="0" applyFont="1" applyFill="1" applyBorder="1" applyAlignment="1" applyProtection="1">
      <alignment horizontal="left" vertical="center"/>
      <protection hidden="1"/>
    </xf>
    <xf numFmtId="4" fontId="8" fillId="64" borderId="63" xfId="0" applyNumberFormat="1" applyFont="1" applyFill="1" applyBorder="1" applyAlignment="1" applyProtection="1">
      <alignment horizontal="left" vertical="center"/>
      <protection hidden="1"/>
    </xf>
    <xf numFmtId="0" fontId="0" fillId="66" borderId="0" xfId="0" applyFill="1" applyProtection="1">
      <protection hidden="1"/>
    </xf>
    <xf numFmtId="0" fontId="0" fillId="65" borderId="0" xfId="0" applyFill="1" applyProtection="1">
      <protection hidden="1"/>
    </xf>
    <xf numFmtId="0" fontId="6" fillId="66" borderId="0" xfId="0" applyFont="1" applyFill="1" applyAlignment="1" applyProtection="1">
      <alignment horizontal="center" vertical="center"/>
      <protection hidden="1"/>
    </xf>
    <xf numFmtId="0" fontId="2" fillId="66" borderId="0" xfId="0" applyFont="1" applyFill="1" applyAlignment="1" applyProtection="1">
      <alignment horizontal="right" vertical="center"/>
      <protection hidden="1"/>
    </xf>
    <xf numFmtId="0" fontId="5" fillId="66" borderId="0" xfId="0" applyFont="1" applyFill="1" applyProtection="1">
      <protection hidden="1"/>
    </xf>
    <xf numFmtId="0" fontId="0" fillId="66" borderId="0" xfId="0" applyFill="1" applyAlignment="1" applyProtection="1">
      <alignment horizontal="right" vertical="center"/>
      <protection hidden="1"/>
    </xf>
    <xf numFmtId="0" fontId="24" fillId="66" borderId="0" xfId="0" applyFont="1" applyFill="1" applyProtection="1">
      <protection hidden="1"/>
    </xf>
    <xf numFmtId="0" fontId="3" fillId="66" borderId="0" xfId="0" applyFont="1" applyFill="1" applyProtection="1">
      <protection hidden="1"/>
    </xf>
    <xf numFmtId="0" fontId="4" fillId="66" borderId="0" xfId="0" applyFont="1" applyFill="1" applyAlignment="1" applyProtection="1">
      <alignment horizontal="right" vertical="top"/>
      <protection hidden="1"/>
    </xf>
    <xf numFmtId="0" fontId="2" fillId="66" borderId="0" xfId="0" applyFont="1" applyFill="1" applyAlignment="1" applyProtection="1">
      <alignment horizontal="left" vertical="top" textRotation="90"/>
      <protection hidden="1"/>
    </xf>
    <xf numFmtId="0" fontId="2" fillId="66" borderId="0" xfId="0" applyFont="1" applyFill="1" applyAlignment="1" applyProtection="1">
      <alignment horizontal="right" vertical="top" textRotation="90"/>
      <protection hidden="1"/>
    </xf>
    <xf numFmtId="0" fontId="0" fillId="0" borderId="0" xfId="0" applyAlignment="1" applyProtection="1">
      <alignment vertical="top"/>
      <protection hidden="1"/>
    </xf>
    <xf numFmtId="0" fontId="0" fillId="66" borderId="0" xfId="0" applyFill="1" applyAlignment="1" applyProtection="1">
      <alignment vertical="top"/>
      <protection hidden="1"/>
    </xf>
    <xf numFmtId="0" fontId="74" fillId="66" borderId="0" xfId="0" applyFont="1" applyFill="1" applyAlignment="1" applyProtection="1">
      <alignment horizontal="right" vertical="top" wrapText="1"/>
      <protection hidden="1"/>
    </xf>
    <xf numFmtId="0" fontId="24" fillId="66" borderId="0" xfId="0" applyFont="1" applyFill="1" applyAlignment="1" applyProtection="1">
      <alignment vertical="top"/>
      <protection hidden="1"/>
    </xf>
    <xf numFmtId="0" fontId="0" fillId="14" borderId="0" xfId="0" applyFill="1" applyAlignment="1" applyProtection="1">
      <alignment vertical="top"/>
      <protection locked="0" hidden="1"/>
    </xf>
    <xf numFmtId="0" fontId="84" fillId="0" borderId="63" xfId="0" applyFont="1" applyBorder="1" applyProtection="1">
      <protection hidden="1"/>
    </xf>
    <xf numFmtId="4" fontId="5" fillId="14" borderId="113" xfId="0" applyNumberFormat="1" applyFont="1" applyFill="1" applyBorder="1" applyProtection="1">
      <protection locked="0"/>
    </xf>
    <xf numFmtId="4" fontId="14" fillId="0" borderId="113" xfId="0" applyNumberFormat="1" applyFont="1" applyBorder="1" applyProtection="1">
      <protection hidden="1"/>
    </xf>
    <xf numFmtId="44" fontId="14" fillId="0" borderId="105" xfId="2" applyFont="1" applyFill="1" applyBorder="1" applyProtection="1">
      <protection hidden="1"/>
    </xf>
    <xf numFmtId="0" fontId="3" fillId="64" borderId="95" xfId="0" applyFont="1" applyFill="1" applyBorder="1" applyProtection="1">
      <protection hidden="1"/>
    </xf>
    <xf numFmtId="0" fontId="84" fillId="0" borderId="0" xfId="0" applyFont="1" applyProtection="1">
      <protection hidden="1"/>
    </xf>
    <xf numFmtId="0" fontId="84" fillId="0" borderId="121" xfId="0" applyFont="1" applyBorder="1" applyProtection="1">
      <protection hidden="1"/>
    </xf>
    <xf numFmtId="4" fontId="8" fillId="64" borderId="68" xfId="0" applyNumberFormat="1" applyFont="1" applyFill="1" applyBorder="1" applyAlignment="1" applyProtection="1">
      <alignment horizontal="left" vertical="center"/>
      <protection hidden="1"/>
    </xf>
    <xf numFmtId="0" fontId="84" fillId="0" borderId="108" xfId="0" applyFont="1" applyBorder="1" applyProtection="1">
      <protection hidden="1"/>
    </xf>
    <xf numFmtId="0" fontId="84" fillId="0" borderId="95" xfId="0" applyFont="1" applyBorder="1" applyProtection="1">
      <protection hidden="1"/>
    </xf>
    <xf numFmtId="0" fontId="84" fillId="0" borderId="96" xfId="0" applyFont="1" applyBorder="1" applyProtection="1">
      <protection hidden="1"/>
    </xf>
    <xf numFmtId="0" fontId="8" fillId="64" borderId="68" xfId="0" applyFont="1" applyFill="1" applyBorder="1" applyProtection="1">
      <protection hidden="1"/>
    </xf>
    <xf numFmtId="0" fontId="2" fillId="64" borderId="96" xfId="0" applyFont="1" applyFill="1" applyBorder="1" applyAlignment="1" applyProtection="1">
      <alignment horizontal="left" vertical="center"/>
      <protection hidden="1"/>
    </xf>
    <xf numFmtId="4" fontId="14" fillId="0" borderId="0" xfId="0" applyNumberFormat="1" applyFont="1" applyProtection="1">
      <protection hidden="1"/>
    </xf>
    <xf numFmtId="44" fontId="14" fillId="0" borderId="0" xfId="2" applyFont="1" applyFill="1" applyBorder="1" applyProtection="1">
      <protection hidden="1"/>
    </xf>
    <xf numFmtId="0" fontId="0" fillId="0" borderId="60" xfId="0" applyBorder="1" applyProtection="1">
      <protection hidden="1"/>
    </xf>
    <xf numFmtId="0" fontId="3" fillId="64" borderId="0" xfId="0" applyFont="1" applyFill="1" applyProtection="1">
      <protection hidden="1"/>
    </xf>
    <xf numFmtId="0" fontId="3" fillId="64" borderId="97" xfId="0" applyFont="1" applyFill="1" applyBorder="1" applyProtection="1">
      <protection hidden="1"/>
    </xf>
    <xf numFmtId="0" fontId="0" fillId="66" borderId="108" xfId="0" applyFill="1" applyBorder="1" applyProtection="1">
      <protection hidden="1"/>
    </xf>
    <xf numFmtId="0" fontId="0" fillId="66" borderId="107" xfId="0" applyFill="1" applyBorder="1" applyProtection="1">
      <protection hidden="1"/>
    </xf>
    <xf numFmtId="0" fontId="0" fillId="66" borderId="68" xfId="0" applyFill="1" applyBorder="1" applyProtection="1">
      <protection hidden="1"/>
    </xf>
    <xf numFmtId="0" fontId="0" fillId="66" borderId="95" xfId="0" applyFill="1" applyBorder="1" applyProtection="1">
      <protection hidden="1"/>
    </xf>
    <xf numFmtId="0" fontId="0" fillId="66" borderId="97" xfId="0" applyFill="1" applyBorder="1" applyProtection="1">
      <protection hidden="1"/>
    </xf>
    <xf numFmtId="0" fontId="0" fillId="55" borderId="108" xfId="0" applyFill="1" applyBorder="1" applyProtection="1">
      <protection hidden="1"/>
    </xf>
    <xf numFmtId="4" fontId="5" fillId="14" borderId="106" xfId="0" applyNumberFormat="1" applyFont="1" applyFill="1" applyBorder="1" applyProtection="1">
      <protection locked="0"/>
    </xf>
    <xf numFmtId="4" fontId="14" fillId="0" borderId="121" xfId="0" applyNumberFormat="1" applyFont="1" applyBorder="1" applyProtection="1">
      <protection hidden="1"/>
    </xf>
    <xf numFmtId="0" fontId="84" fillId="0" borderId="62" xfId="0" applyFont="1" applyBorder="1" applyProtection="1">
      <protection hidden="1"/>
    </xf>
    <xf numFmtId="44" fontId="14" fillId="0" borderId="121" xfId="2" applyFont="1" applyFill="1" applyBorder="1" applyProtection="1">
      <protection hidden="1"/>
    </xf>
    <xf numFmtId="4" fontId="5" fillId="14" borderId="134" xfId="0" applyNumberFormat="1" applyFont="1" applyFill="1" applyBorder="1" applyProtection="1">
      <protection locked="0"/>
    </xf>
    <xf numFmtId="4" fontId="14" fillId="0" borderId="135" xfId="0" applyNumberFormat="1" applyFont="1" applyBorder="1" applyProtection="1">
      <protection hidden="1"/>
    </xf>
    <xf numFmtId="0" fontId="79" fillId="7" borderId="16" xfId="11" applyFont="1" applyFill="1" applyBorder="1" applyProtection="1">
      <protection hidden="1"/>
    </xf>
    <xf numFmtId="4" fontId="5" fillId="14" borderId="133" xfId="0" applyNumberFormat="1" applyFont="1" applyFill="1" applyBorder="1" applyProtection="1">
      <protection locked="0"/>
    </xf>
    <xf numFmtId="4" fontId="14" fillId="0" borderId="133" xfId="0" applyNumberFormat="1" applyFont="1" applyBorder="1" applyProtection="1">
      <protection hidden="1"/>
    </xf>
    <xf numFmtId="44" fontId="14" fillId="0" borderId="133" xfId="2" applyFont="1" applyFill="1" applyBorder="1" applyProtection="1">
      <protection hidden="1"/>
    </xf>
    <xf numFmtId="0" fontId="0" fillId="0" borderId="95" xfId="0" applyBorder="1" applyProtection="1">
      <protection hidden="1"/>
    </xf>
    <xf numFmtId="0" fontId="0" fillId="0" borderId="108" xfId="0" applyBorder="1" applyProtection="1">
      <protection hidden="1"/>
    </xf>
    <xf numFmtId="44" fontId="4" fillId="68" borderId="127" xfId="2" applyFont="1" applyFill="1" applyBorder="1" applyAlignment="1" applyProtection="1">
      <alignment horizontal="center"/>
      <protection hidden="1"/>
    </xf>
    <xf numFmtId="0" fontId="84" fillId="0" borderId="135" xfId="0" applyFont="1" applyBorder="1" applyProtection="1">
      <protection hidden="1"/>
    </xf>
    <xf numFmtId="0" fontId="84" fillId="0" borderId="136" xfId="0" applyFont="1" applyBorder="1" applyProtection="1">
      <protection hidden="1"/>
    </xf>
    <xf numFmtId="0" fontId="0" fillId="0" borderId="68" xfId="0" applyBorder="1" applyProtection="1">
      <protection hidden="1"/>
    </xf>
    <xf numFmtId="0" fontId="0" fillId="0" borderId="96" xfId="0" applyBorder="1" applyProtection="1">
      <protection hidden="1"/>
    </xf>
    <xf numFmtId="0" fontId="83" fillId="0" borderId="63" xfId="0" applyFont="1" applyBorder="1" applyProtection="1">
      <protection hidden="1"/>
    </xf>
    <xf numFmtId="4" fontId="78" fillId="0" borderId="75" xfId="0" applyNumberFormat="1" applyFont="1" applyBorder="1" applyProtection="1">
      <protection hidden="1"/>
    </xf>
    <xf numFmtId="44" fontId="78" fillId="0" borderId="62" xfId="2" applyFont="1" applyFill="1" applyBorder="1" applyProtection="1">
      <protection hidden="1"/>
    </xf>
    <xf numFmtId="0" fontId="67" fillId="0" borderId="137" xfId="0" applyFont="1" applyBorder="1" applyAlignment="1" applyProtection="1">
      <alignment horizontal="center"/>
      <protection hidden="1"/>
    </xf>
    <xf numFmtId="0" fontId="8" fillId="65" borderId="96" xfId="0" applyFont="1" applyFill="1" applyBorder="1" applyAlignment="1" applyProtection="1">
      <alignment horizontal="center" vertical="top" wrapText="1"/>
      <protection hidden="1"/>
    </xf>
    <xf numFmtId="0" fontId="0" fillId="67" borderId="0" xfId="0" applyFill="1" applyAlignment="1" applyProtection="1">
      <alignment horizontal="right" vertical="top"/>
      <protection hidden="1"/>
    </xf>
    <xf numFmtId="4" fontId="22" fillId="10" borderId="58" xfId="11" applyNumberFormat="1" applyFont="1" applyFill="1" applyBorder="1" applyProtection="1">
      <protection hidden="1"/>
    </xf>
    <xf numFmtId="44" fontId="22" fillId="11" borderId="35" xfId="2" applyFont="1" applyFill="1" applyBorder="1" applyProtection="1">
      <protection hidden="1"/>
    </xf>
    <xf numFmtId="0" fontId="22" fillId="12" borderId="35" xfId="11" applyFont="1" applyFill="1" applyBorder="1" applyProtection="1">
      <protection hidden="1"/>
    </xf>
    <xf numFmtId="0" fontId="22" fillId="6" borderId="35" xfId="11" applyFont="1" applyFill="1" applyBorder="1" applyProtection="1">
      <protection hidden="1"/>
    </xf>
    <xf numFmtId="15" fontId="18" fillId="0" borderId="138" xfId="11" applyNumberFormat="1" applyFont="1" applyBorder="1" applyProtection="1">
      <protection hidden="1"/>
    </xf>
    <xf numFmtId="15" fontId="18" fillId="0" borderId="61" xfId="11" applyNumberFormat="1" applyFont="1" applyBorder="1" applyProtection="1">
      <protection hidden="1"/>
    </xf>
    <xf numFmtId="0" fontId="16" fillId="0" borderId="61" xfId="0" applyFont="1" applyBorder="1" applyProtection="1">
      <protection hidden="1"/>
    </xf>
    <xf numFmtId="166" fontId="93" fillId="3" borderId="13" xfId="1" applyNumberFormat="1" applyFont="1" applyFill="1" applyBorder="1" applyAlignment="1" applyProtection="1">
      <alignment horizontal="center" vertical="center"/>
      <protection hidden="1"/>
    </xf>
    <xf numFmtId="44" fontId="0" fillId="66" borderId="0" xfId="0" applyNumberFormat="1" applyFill="1" applyProtection="1">
      <protection hidden="1"/>
    </xf>
    <xf numFmtId="0" fontId="52" fillId="57" borderId="0" xfId="0" applyFont="1" applyFill="1"/>
    <xf numFmtId="44" fontId="13" fillId="70" borderId="2" xfId="2" applyFont="1" applyFill="1" applyBorder="1" applyAlignment="1" applyProtection="1">
      <protection hidden="1"/>
    </xf>
    <xf numFmtId="166" fontId="13" fillId="70" borderId="2" xfId="1" applyNumberFormat="1" applyFont="1" applyFill="1" applyBorder="1" applyAlignment="1" applyProtection="1">
      <alignment horizontal="center" vertical="center"/>
      <protection hidden="1"/>
    </xf>
    <xf numFmtId="44" fontId="13" fillId="70" borderId="2" xfId="2" applyFont="1" applyFill="1" applyBorder="1" applyProtection="1">
      <protection hidden="1"/>
    </xf>
    <xf numFmtId="166" fontId="13" fillId="70" borderId="6" xfId="1" applyNumberFormat="1" applyFont="1" applyFill="1" applyBorder="1" applyAlignment="1" applyProtection="1">
      <alignment horizontal="center" vertical="center"/>
      <protection hidden="1"/>
    </xf>
    <xf numFmtId="44" fontId="13" fillId="70" borderId="6" xfId="2" applyFont="1" applyFill="1" applyBorder="1" applyAlignment="1" applyProtection="1">
      <protection hidden="1"/>
    </xf>
    <xf numFmtId="44" fontId="13" fillId="70" borderId="6" xfId="2" applyFont="1" applyFill="1" applyBorder="1" applyProtection="1">
      <protection hidden="1"/>
    </xf>
    <xf numFmtId="166" fontId="13" fillId="70" borderId="110" xfId="1" applyNumberFormat="1" applyFont="1" applyFill="1" applyBorder="1" applyAlignment="1" applyProtection="1">
      <alignment horizontal="center" vertical="center"/>
      <protection hidden="1"/>
    </xf>
    <xf numFmtId="44" fontId="13" fillId="70" borderId="9" xfId="2" applyFont="1" applyFill="1" applyBorder="1" applyProtection="1">
      <protection hidden="1"/>
    </xf>
    <xf numFmtId="0" fontId="13" fillId="70" borderId="2" xfId="0" applyFont="1" applyFill="1" applyBorder="1" applyAlignment="1">
      <alignment horizontal="right" vertical="top"/>
    </xf>
    <xf numFmtId="164" fontId="13" fillId="70" borderId="2" xfId="0" applyNumberFormat="1" applyFont="1" applyFill="1" applyBorder="1" applyAlignment="1">
      <alignment horizontal="right" vertical="top"/>
    </xf>
    <xf numFmtId="0" fontId="13" fillId="63" borderId="2" xfId="0" applyFont="1" applyFill="1" applyBorder="1" applyAlignment="1">
      <alignment horizontal="right" vertical="top"/>
    </xf>
    <xf numFmtId="44" fontId="13" fillId="70" borderId="2" xfId="2" applyFont="1" applyFill="1" applyBorder="1" applyAlignment="1">
      <alignment horizontal="right" vertical="top"/>
    </xf>
    <xf numFmtId="171" fontId="13" fillId="70" borderId="2" xfId="1" applyNumberFormat="1" applyFont="1" applyFill="1" applyBorder="1" applyAlignment="1" applyProtection="1">
      <alignment horizontal="center" vertical="center"/>
      <protection hidden="1"/>
    </xf>
    <xf numFmtId="166" fontId="13" fillId="3" borderId="142" xfId="1" applyNumberFormat="1" applyFont="1" applyFill="1" applyBorder="1" applyAlignment="1" applyProtection="1">
      <alignment horizontal="center" vertical="center"/>
      <protection hidden="1"/>
    </xf>
    <xf numFmtId="44" fontId="14" fillId="58" borderId="142" xfId="2" applyFont="1" applyFill="1" applyBorder="1" applyAlignment="1" applyProtection="1">
      <protection hidden="1"/>
    </xf>
    <xf numFmtId="0" fontId="5" fillId="57" borderId="61" xfId="0" applyFont="1" applyFill="1" applyBorder="1"/>
    <xf numFmtId="0" fontId="5" fillId="57" borderId="61" xfId="0" applyFont="1" applyFill="1" applyBorder="1" applyAlignment="1">
      <alignment horizontal="center" vertical="center"/>
    </xf>
    <xf numFmtId="0" fontId="0" fillId="0" borderId="61" xfId="0" applyBorder="1"/>
    <xf numFmtId="4" fontId="5" fillId="57" borderId="61" xfId="0" applyNumberFormat="1" applyFont="1" applyFill="1" applyBorder="1"/>
    <xf numFmtId="0" fontId="0" fillId="57" borderId="61" xfId="0" applyFill="1" applyBorder="1"/>
    <xf numFmtId="0" fontId="4" fillId="62" borderId="12" xfId="0" applyFont="1" applyFill="1" applyBorder="1" applyProtection="1">
      <protection hidden="1"/>
    </xf>
    <xf numFmtId="0" fontId="0" fillId="0" borderId="61" xfId="0" applyBorder="1" applyAlignment="1">
      <alignment horizontal="left"/>
    </xf>
    <xf numFmtId="0" fontId="0" fillId="57" borderId="61" xfId="0" applyFill="1" applyBorder="1" applyAlignment="1">
      <alignment horizontal="right"/>
    </xf>
    <xf numFmtId="0" fontId="42" fillId="57" borderId="61" xfId="0" applyFont="1" applyFill="1" applyBorder="1"/>
    <xf numFmtId="44" fontId="14" fillId="58" borderId="61" xfId="2" applyFont="1" applyFill="1" applyBorder="1" applyProtection="1">
      <protection hidden="1"/>
    </xf>
    <xf numFmtId="43" fontId="14" fillId="58" borderId="61" xfId="1" applyFont="1" applyFill="1" applyBorder="1" applyProtection="1">
      <protection hidden="1"/>
    </xf>
    <xf numFmtId="164" fontId="0" fillId="0" borderId="61" xfId="0" applyNumberFormat="1" applyBorder="1"/>
    <xf numFmtId="0" fontId="0" fillId="14" borderId="97" xfId="0" applyFill="1" applyBorder="1"/>
    <xf numFmtId="0" fontId="28" fillId="0" borderId="63" xfId="0" applyFont="1" applyBorder="1" applyProtection="1">
      <protection hidden="1"/>
    </xf>
    <xf numFmtId="0" fontId="0" fillId="0" borderId="97" xfId="0" applyBorder="1" applyProtection="1">
      <protection hidden="1"/>
    </xf>
    <xf numFmtId="44" fontId="28" fillId="0" borderId="97" xfId="2" applyFont="1" applyFill="1" applyBorder="1" applyAlignment="1" applyProtection="1">
      <protection hidden="1"/>
    </xf>
    <xf numFmtId="44" fontId="30" fillId="0" borderId="108" xfId="2" applyFont="1" applyFill="1" applyBorder="1" applyProtection="1">
      <protection hidden="1"/>
    </xf>
    <xf numFmtId="166" fontId="30" fillId="0" borderId="107" xfId="1" applyNumberFormat="1" applyFont="1" applyFill="1" applyBorder="1" applyAlignment="1" applyProtection="1">
      <alignment horizontal="center" vertical="center"/>
      <protection hidden="1"/>
    </xf>
    <xf numFmtId="0" fontId="0" fillId="0" borderId="75" xfId="0" applyBorder="1" applyProtection="1">
      <protection hidden="1"/>
    </xf>
    <xf numFmtId="0" fontId="0" fillId="0" borderId="75" xfId="0" applyBorder="1"/>
    <xf numFmtId="44" fontId="30" fillId="0" borderId="73" xfId="2" applyFont="1" applyFill="1" applyBorder="1" applyAlignment="1" applyProtection="1">
      <protection hidden="1"/>
    </xf>
    <xf numFmtId="44" fontId="30" fillId="0" borderId="147" xfId="2" applyFont="1" applyFill="1" applyBorder="1" applyAlignment="1" applyProtection="1">
      <protection hidden="1"/>
    </xf>
    <xf numFmtId="44" fontId="30" fillId="0" borderId="62" xfId="2" applyFont="1" applyFill="1" applyBorder="1" applyAlignment="1" applyProtection="1">
      <protection hidden="1"/>
    </xf>
    <xf numFmtId="44" fontId="30" fillId="0" borderId="75" xfId="2" applyFont="1" applyFill="1" applyBorder="1" applyAlignment="1" applyProtection="1">
      <protection hidden="1"/>
    </xf>
    <xf numFmtId="0" fontId="0" fillId="0" borderId="96" xfId="0" applyBorder="1"/>
    <xf numFmtId="4" fontId="14" fillId="0" borderId="63" xfId="0" applyNumberFormat="1" applyFont="1" applyBorder="1" applyProtection="1">
      <protection hidden="1"/>
    </xf>
    <xf numFmtId="0" fontId="0" fillId="0" borderId="71" xfId="0" applyBorder="1"/>
    <xf numFmtId="0" fontId="28" fillId="0" borderId="149" xfId="0" applyFont="1" applyBorder="1" applyProtection="1">
      <protection hidden="1"/>
    </xf>
    <xf numFmtId="4" fontId="30" fillId="0" borderId="73" xfId="2" applyNumberFormat="1" applyFont="1" applyFill="1" applyBorder="1" applyAlignment="1" applyProtection="1">
      <protection hidden="1"/>
    </xf>
    <xf numFmtId="0" fontId="50" fillId="0" borderId="63" xfId="0" applyFont="1" applyBorder="1" applyProtection="1">
      <protection hidden="1"/>
    </xf>
    <xf numFmtId="0" fontId="0" fillId="0" borderId="107" xfId="0" applyBorder="1"/>
    <xf numFmtId="44" fontId="12" fillId="6" borderId="108" xfId="2" applyFont="1" applyFill="1" applyBorder="1" applyAlignment="1" applyProtection="1">
      <alignment horizontal="right"/>
      <protection hidden="1"/>
    </xf>
    <xf numFmtId="0" fontId="0" fillId="0" borderId="108" xfId="0" applyBorder="1"/>
    <xf numFmtId="0" fontId="0" fillId="0" borderId="68" xfId="0" applyBorder="1"/>
    <xf numFmtId="0" fontId="0" fillId="0" borderId="95" xfId="0" applyBorder="1"/>
    <xf numFmtId="0" fontId="27" fillId="6" borderId="152" xfId="0" applyFont="1" applyFill="1" applyBorder="1" applyAlignment="1" applyProtection="1">
      <alignment horizontal="center" vertical="center"/>
      <protection hidden="1"/>
    </xf>
    <xf numFmtId="0" fontId="27" fillId="6" borderId="153" xfId="0" applyFont="1" applyFill="1" applyBorder="1" applyAlignment="1" applyProtection="1">
      <alignment horizontal="center" vertical="center"/>
      <protection hidden="1"/>
    </xf>
    <xf numFmtId="0" fontId="29" fillId="14" borderId="158" xfId="0" applyFont="1" applyFill="1" applyBorder="1" applyAlignment="1" applyProtection="1">
      <alignment horizontal="center" vertical="center"/>
      <protection hidden="1"/>
    </xf>
    <xf numFmtId="0" fontId="51" fillId="0" borderId="159" xfId="0" applyFont="1" applyBorder="1" applyAlignment="1" applyProtection="1">
      <alignment horizontal="left"/>
      <protection hidden="1"/>
    </xf>
    <xf numFmtId="0" fontId="29" fillId="0" borderId="108" xfId="0" applyFont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horizontal="left"/>
      <protection hidden="1"/>
    </xf>
    <xf numFmtId="44" fontId="28" fillId="14" borderId="161" xfId="2" applyFont="1" applyFill="1" applyBorder="1" applyProtection="1">
      <protection hidden="1"/>
    </xf>
    <xf numFmtId="0" fontId="14" fillId="0" borderId="160" xfId="0" applyFont="1" applyBorder="1" applyAlignment="1" applyProtection="1">
      <alignment horizontal="left" wrapText="1"/>
      <protection hidden="1"/>
    </xf>
    <xf numFmtId="44" fontId="28" fillId="14" borderId="161" xfId="2" applyFont="1" applyFill="1" applyBorder="1" applyAlignment="1" applyProtection="1">
      <alignment vertical="center"/>
      <protection hidden="1"/>
    </xf>
    <xf numFmtId="0" fontId="51" fillId="0" borderId="107" xfId="0" applyFont="1" applyBorder="1" applyAlignment="1" applyProtection="1">
      <alignment horizontal="center" vertical="center"/>
      <protection hidden="1"/>
    </xf>
    <xf numFmtId="44" fontId="28" fillId="0" borderId="108" xfId="2" applyFont="1" applyFill="1" applyBorder="1" applyProtection="1">
      <protection hidden="1"/>
    </xf>
    <xf numFmtId="0" fontId="28" fillId="0" borderId="160" xfId="0" applyFont="1" applyBorder="1" applyAlignment="1" applyProtection="1">
      <alignment horizontal="left"/>
      <protection hidden="1"/>
    </xf>
    <xf numFmtId="0" fontId="14" fillId="0" borderId="162" xfId="0" applyFont="1" applyBorder="1" applyAlignment="1" applyProtection="1">
      <alignment horizontal="left"/>
      <protection hidden="1"/>
    </xf>
    <xf numFmtId="44" fontId="28" fillId="14" borderId="163" xfId="2" applyFont="1" applyFill="1" applyBorder="1" applyProtection="1">
      <protection hidden="1"/>
    </xf>
    <xf numFmtId="0" fontId="28" fillId="0" borderId="107" xfId="0" applyFont="1" applyBorder="1" applyProtection="1">
      <protection hidden="1"/>
    </xf>
    <xf numFmtId="0" fontId="28" fillId="0" borderId="164" xfId="0" applyFont="1" applyBorder="1" applyProtection="1">
      <protection hidden="1"/>
    </xf>
    <xf numFmtId="0" fontId="28" fillId="0" borderId="165" xfId="0" applyFont="1" applyBorder="1" applyProtection="1">
      <protection hidden="1"/>
    </xf>
    <xf numFmtId="0" fontId="50" fillId="0" borderId="164" xfId="0" applyFont="1" applyBorder="1" applyProtection="1">
      <protection hidden="1"/>
    </xf>
    <xf numFmtId="0" fontId="6" fillId="0" borderId="107" xfId="0" applyFont="1" applyBorder="1" applyAlignment="1" applyProtection="1">
      <alignment horizontal="left" vertical="center" wrapText="1"/>
      <protection hidden="1"/>
    </xf>
    <xf numFmtId="0" fontId="6" fillId="0" borderId="108" xfId="0" applyFont="1" applyBorder="1" applyAlignment="1">
      <alignment horizontal="center" vertical="center"/>
    </xf>
    <xf numFmtId="0" fontId="6" fillId="0" borderId="166" xfId="0" applyFont="1" applyBorder="1" applyAlignment="1" applyProtection="1">
      <alignment horizontal="left" vertical="center" wrapText="1"/>
      <protection hidden="1"/>
    </xf>
    <xf numFmtId="0" fontId="0" fillId="0" borderId="95" xfId="0" applyBorder="1" applyAlignment="1">
      <alignment horizontal="left"/>
    </xf>
    <xf numFmtId="44" fontId="14" fillId="0" borderId="113" xfId="2" applyFont="1" applyFill="1" applyBorder="1" applyProtection="1">
      <protection hidden="1"/>
    </xf>
    <xf numFmtId="43" fontId="22" fillId="0" borderId="167" xfId="1" applyFont="1" applyFill="1" applyBorder="1" applyProtection="1">
      <protection hidden="1"/>
    </xf>
    <xf numFmtId="43" fontId="22" fillId="0" borderId="33" xfId="1" applyFont="1" applyFill="1" applyBorder="1" applyProtection="1">
      <protection hidden="1"/>
    </xf>
    <xf numFmtId="43" fontId="22" fillId="0" borderId="0" xfId="1" applyFont="1" applyFill="1" applyBorder="1" applyProtection="1">
      <protection hidden="1"/>
    </xf>
    <xf numFmtId="43" fontId="22" fillId="0" borderId="0" xfId="1" applyFont="1" applyFill="1" applyBorder="1" applyAlignment="1" applyProtection="1">
      <alignment horizontal="center" vertical="center"/>
      <protection hidden="1"/>
    </xf>
    <xf numFmtId="0" fontId="31" fillId="0" borderId="63" xfId="0" applyFont="1" applyBorder="1" applyAlignment="1" applyProtection="1">
      <alignment horizontal="left"/>
      <protection hidden="1"/>
    </xf>
    <xf numFmtId="0" fontId="46" fillId="0" borderId="75" xfId="0" applyFont="1" applyBorder="1" applyAlignment="1" applyProtection="1">
      <alignment horizontal="center" vertical="center"/>
      <protection hidden="1"/>
    </xf>
    <xf numFmtId="0" fontId="71" fillId="0" borderId="75" xfId="0" applyFont="1" applyBorder="1" applyAlignment="1">
      <alignment horizontal="right" vertical="center"/>
    </xf>
    <xf numFmtId="0" fontId="71" fillId="0" borderId="75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/>
    </xf>
    <xf numFmtId="44" fontId="28" fillId="0" borderId="108" xfId="2" applyFont="1" applyFill="1" applyBorder="1" applyAlignment="1" applyProtection="1">
      <protection hidden="1"/>
    </xf>
    <xf numFmtId="0" fontId="71" fillId="0" borderId="63" xfId="0" applyFont="1" applyBorder="1" applyAlignment="1">
      <alignment horizontal="center" vertical="center"/>
    </xf>
    <xf numFmtId="0" fontId="95" fillId="0" borderId="75" xfId="0" applyFont="1" applyBorder="1" applyAlignment="1" applyProtection="1">
      <alignment horizontal="center" vertical="center"/>
      <protection hidden="1"/>
    </xf>
    <xf numFmtId="0" fontId="74" fillId="0" borderId="75" xfId="0" applyFont="1" applyBorder="1" applyAlignment="1" applyProtection="1">
      <alignment horizontal="center" vertical="center"/>
      <protection hidden="1"/>
    </xf>
    <xf numFmtId="0" fontId="75" fillId="0" borderId="75" xfId="0" applyFont="1" applyBorder="1" applyAlignment="1" applyProtection="1">
      <alignment horizontal="right"/>
      <protection hidden="1"/>
    </xf>
    <xf numFmtId="0" fontId="74" fillId="0" borderId="75" xfId="0" applyFont="1" applyBorder="1" applyAlignment="1">
      <alignment horizontal="center" vertical="center"/>
    </xf>
    <xf numFmtId="0" fontId="74" fillId="0" borderId="62" xfId="0" applyFont="1" applyBorder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hidden="1"/>
    </xf>
    <xf numFmtId="10" fontId="5" fillId="0" borderId="108" xfId="3" applyNumberFormat="1" applyFont="1" applyBorder="1" applyAlignment="1">
      <alignment horizontal="center" vertical="center"/>
    </xf>
    <xf numFmtId="0" fontId="28" fillId="0" borderId="168" xfId="0" applyFont="1" applyBorder="1" applyProtection="1">
      <protection hidden="1"/>
    </xf>
    <xf numFmtId="0" fontId="28" fillId="0" borderId="169" xfId="0" applyFont="1" applyBorder="1" applyProtection="1">
      <protection hidden="1"/>
    </xf>
    <xf numFmtId="4" fontId="30" fillId="0" borderId="150" xfId="2" applyNumberFormat="1" applyFont="1" applyFill="1" applyBorder="1" applyAlignment="1" applyProtection="1">
      <protection hidden="1"/>
    </xf>
    <xf numFmtId="44" fontId="30" fillId="0" borderId="150" xfId="2" applyFont="1" applyFill="1" applyBorder="1" applyAlignment="1" applyProtection="1">
      <protection hidden="1"/>
    </xf>
    <xf numFmtId="44" fontId="30" fillId="0" borderId="170" xfId="2" applyFont="1" applyFill="1" applyBorder="1" applyAlignment="1" applyProtection="1">
      <protection hidden="1"/>
    </xf>
    <xf numFmtId="0" fontId="51" fillId="0" borderId="63" xfId="0" applyFont="1" applyBorder="1" applyProtection="1">
      <protection hidden="1"/>
    </xf>
    <xf numFmtId="0" fontId="0" fillId="0" borderId="62" xfId="0" applyBorder="1" applyProtection="1">
      <protection hidden="1"/>
    </xf>
    <xf numFmtId="0" fontId="0" fillId="0" borderId="62" xfId="0" applyBorder="1"/>
    <xf numFmtId="0" fontId="30" fillId="0" borderId="0" xfId="0" applyFont="1" applyAlignment="1" applyProtection="1">
      <alignment horizontal="center"/>
      <protection hidden="1"/>
    </xf>
    <xf numFmtId="0" fontId="29" fillId="0" borderId="0" xfId="0" applyFont="1" applyAlignment="1" applyProtection="1">
      <alignment horizontal="left"/>
      <protection hidden="1"/>
    </xf>
    <xf numFmtId="4" fontId="30" fillId="0" borderId="0" xfId="0" applyNumberFormat="1" applyFont="1" applyProtection="1">
      <protection hidden="1"/>
    </xf>
    <xf numFmtId="0" fontId="49" fillId="0" borderId="0" xfId="0" applyFont="1" applyAlignment="1" applyProtection="1">
      <alignment horizontal="right"/>
      <protection hidden="1"/>
    </xf>
    <xf numFmtId="44" fontId="28" fillId="6" borderId="0" xfId="2" applyFont="1" applyFill="1" applyBorder="1" applyAlignment="1" applyProtection="1">
      <protection hidden="1"/>
    </xf>
    <xf numFmtId="44" fontId="28" fillId="6" borderId="95" xfId="2" applyFont="1" applyFill="1" applyBorder="1" applyAlignment="1" applyProtection="1">
      <protection hidden="1"/>
    </xf>
    <xf numFmtId="4" fontId="30" fillId="0" borderId="0" xfId="0" quotePrefix="1" applyNumberFormat="1" applyFont="1" applyProtection="1">
      <protection hidden="1"/>
    </xf>
    <xf numFmtId="0" fontId="30" fillId="0" borderId="63" xfId="0" applyFont="1" applyBorder="1" applyProtection="1">
      <protection hidden="1"/>
    </xf>
    <xf numFmtId="4" fontId="5" fillId="0" borderId="70" xfId="0" applyNumberFormat="1" applyFont="1" applyBorder="1" applyProtection="1">
      <protection hidden="1"/>
    </xf>
    <xf numFmtId="4" fontId="5" fillId="0" borderId="172" xfId="0" applyNumberFormat="1" applyFont="1" applyBorder="1" applyProtection="1">
      <protection hidden="1"/>
    </xf>
    <xf numFmtId="44" fontId="30" fillId="0" borderId="105" xfId="2" applyFont="1" applyFill="1" applyBorder="1" applyAlignment="1" applyProtection="1">
      <protection hidden="1"/>
    </xf>
    <xf numFmtId="44" fontId="30" fillId="0" borderId="173" xfId="2" applyFont="1" applyFill="1" applyBorder="1" applyAlignment="1" applyProtection="1">
      <protection hidden="1"/>
    </xf>
    <xf numFmtId="44" fontId="30" fillId="0" borderId="174" xfId="2" applyFont="1" applyFill="1" applyBorder="1" applyAlignment="1" applyProtection="1">
      <alignment horizontal="center"/>
      <protection hidden="1"/>
    </xf>
    <xf numFmtId="0" fontId="0" fillId="0" borderId="171" xfId="0" applyBorder="1"/>
    <xf numFmtId="0" fontId="0" fillId="0" borderId="105" xfId="0" applyBorder="1"/>
    <xf numFmtId="44" fontId="28" fillId="0" borderId="96" xfId="2" applyFont="1" applyFill="1" applyBorder="1" applyAlignment="1" applyProtection="1">
      <protection hidden="1"/>
    </xf>
    <xf numFmtId="0" fontId="71" fillId="0" borderId="62" xfId="0" applyFont="1" applyBorder="1" applyAlignment="1">
      <alignment horizontal="center" vertical="center"/>
    </xf>
    <xf numFmtId="0" fontId="29" fillId="0" borderId="105" xfId="0" applyFont="1" applyBorder="1" applyAlignment="1" applyProtection="1">
      <alignment horizontal="left"/>
      <protection hidden="1"/>
    </xf>
    <xf numFmtId="0" fontId="29" fillId="0" borderId="97" xfId="0" applyFont="1" applyBorder="1" applyAlignment="1" applyProtection="1">
      <alignment horizontal="left"/>
      <protection hidden="1"/>
    </xf>
    <xf numFmtId="0" fontId="29" fillId="0" borderId="106" xfId="0" applyFont="1" applyBorder="1" applyAlignment="1" applyProtection="1">
      <alignment horizontal="left"/>
      <protection hidden="1"/>
    </xf>
    <xf numFmtId="0" fontId="29" fillId="0" borderId="108" xfId="0" applyFont="1" applyBorder="1" applyAlignment="1" applyProtection="1">
      <alignment horizontal="left"/>
      <protection hidden="1"/>
    </xf>
    <xf numFmtId="44" fontId="30" fillId="0" borderId="175" xfId="2" applyFont="1" applyFill="1" applyBorder="1" applyAlignment="1" applyProtection="1">
      <alignment horizontal="center"/>
      <protection hidden="1"/>
    </xf>
    <xf numFmtId="44" fontId="30" fillId="0" borderId="163" xfId="2" applyFont="1" applyFill="1" applyBorder="1" applyAlignment="1" applyProtection="1">
      <alignment horizontal="center"/>
      <protection hidden="1"/>
    </xf>
    <xf numFmtId="0" fontId="0" fillId="0" borderId="97" xfId="0" applyBorder="1"/>
    <xf numFmtId="0" fontId="28" fillId="14" borderId="61" xfId="0" applyFont="1" applyFill="1" applyBorder="1" applyAlignment="1" applyProtection="1">
      <alignment horizontal="center"/>
      <protection hidden="1"/>
    </xf>
    <xf numFmtId="4" fontId="30" fillId="0" borderId="61" xfId="0" applyNumberFormat="1" applyFont="1" applyBorder="1" applyProtection="1">
      <protection hidden="1"/>
    </xf>
    <xf numFmtId="0" fontId="0" fillId="0" borderId="97" xfId="0" applyBorder="1" applyAlignment="1">
      <alignment horizontal="left" vertical="top"/>
    </xf>
    <xf numFmtId="44" fontId="30" fillId="0" borderId="97" xfId="2" applyFont="1" applyFill="1" applyBorder="1" applyAlignment="1" applyProtection="1">
      <protection hidden="1"/>
    </xf>
    <xf numFmtId="44" fontId="30" fillId="0" borderId="106" xfId="2" applyFont="1" applyFill="1" applyBorder="1" applyAlignment="1" applyProtection="1">
      <protection hidden="1"/>
    </xf>
    <xf numFmtId="0" fontId="27" fillId="6" borderId="105" xfId="0" applyFont="1" applyFill="1" applyBorder="1" applyAlignment="1" applyProtection="1">
      <alignment horizontal="center" vertical="center"/>
      <protection hidden="1"/>
    </xf>
    <xf numFmtId="44" fontId="14" fillId="0" borderId="97" xfId="2" applyFont="1" applyFill="1" applyBorder="1" applyAlignment="1" applyProtection="1">
      <protection hidden="1"/>
    </xf>
    <xf numFmtId="44" fontId="6" fillId="0" borderId="106" xfId="2" applyFont="1" applyFill="1" applyBorder="1" applyAlignment="1"/>
    <xf numFmtId="0" fontId="14" fillId="0" borderId="108" xfId="0" applyFont="1" applyBorder="1" applyAlignment="1" applyProtection="1">
      <alignment horizontal="left"/>
      <protection hidden="1"/>
    </xf>
    <xf numFmtId="0" fontId="28" fillId="0" borderId="68" xfId="0" applyFont="1" applyBorder="1" applyProtection="1">
      <protection hidden="1"/>
    </xf>
    <xf numFmtId="0" fontId="30" fillId="0" borderId="95" xfId="0" applyFont="1" applyBorder="1" applyAlignment="1" applyProtection="1">
      <alignment horizontal="center"/>
      <protection hidden="1"/>
    </xf>
    <xf numFmtId="0" fontId="29" fillId="0" borderId="95" xfId="0" applyFont="1" applyBorder="1" applyAlignment="1" applyProtection="1">
      <alignment horizontal="left"/>
      <protection hidden="1"/>
    </xf>
    <xf numFmtId="4" fontId="30" fillId="0" borderId="95" xfId="0" applyNumberFormat="1" applyFont="1" applyBorder="1" applyProtection="1">
      <protection hidden="1"/>
    </xf>
    <xf numFmtId="0" fontId="0" fillId="0" borderId="106" xfId="0" applyBorder="1" applyAlignment="1">
      <alignment horizontal="left"/>
    </xf>
    <xf numFmtId="0" fontId="0" fillId="0" borderId="96" xfId="0" applyBorder="1" applyAlignment="1">
      <alignment horizontal="left"/>
    </xf>
    <xf numFmtId="0" fontId="0" fillId="0" borderId="97" xfId="0" applyBorder="1" applyAlignment="1">
      <alignment horizontal="left"/>
    </xf>
    <xf numFmtId="0" fontId="31" fillId="0" borderId="148" xfId="0" applyFont="1" applyBorder="1" applyAlignment="1" applyProtection="1">
      <alignment horizontal="left"/>
      <protection hidden="1"/>
    </xf>
    <xf numFmtId="0" fontId="46" fillId="0" borderId="148" xfId="0" applyFont="1" applyBorder="1" applyAlignment="1" applyProtection="1">
      <alignment horizontal="center" vertical="center"/>
      <protection hidden="1"/>
    </xf>
    <xf numFmtId="0" fontId="71" fillId="0" borderId="148" xfId="0" applyFont="1" applyBorder="1" applyAlignment="1">
      <alignment horizontal="right" vertical="center"/>
    </xf>
    <xf numFmtId="0" fontId="71" fillId="0" borderId="148" xfId="0" applyFont="1" applyBorder="1" applyAlignment="1">
      <alignment horizontal="center" vertical="center"/>
    </xf>
    <xf numFmtId="4" fontId="5" fillId="0" borderId="97" xfId="0" applyNumberFormat="1" applyFont="1" applyBorder="1" applyProtection="1">
      <protection hidden="1"/>
    </xf>
    <xf numFmtId="44" fontId="28" fillId="0" borderId="106" xfId="2" applyFont="1" applyFill="1" applyBorder="1" applyProtection="1">
      <protection hidden="1"/>
    </xf>
    <xf numFmtId="0" fontId="9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>
      <alignment horizontal="center" vertical="center"/>
    </xf>
    <xf numFmtId="0" fontId="19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71" fillId="0" borderId="0" xfId="0" applyFont="1" applyAlignment="1">
      <alignment horizontal="center" vertical="center"/>
    </xf>
    <xf numFmtId="0" fontId="95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right"/>
      <protection hidden="1"/>
    </xf>
    <xf numFmtId="0" fontId="74" fillId="0" borderId="0" xfId="0" applyFont="1" applyAlignment="1">
      <alignment horizontal="center" vertical="center"/>
    </xf>
    <xf numFmtId="0" fontId="46" fillId="0" borderId="0" xfId="0" applyFont="1" applyAlignment="1" applyProtection="1">
      <alignment horizontal="center" vertical="center"/>
      <protection hidden="1"/>
    </xf>
    <xf numFmtId="0" fontId="71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Protection="1">
      <protection hidden="1"/>
    </xf>
    <xf numFmtId="4" fontId="5" fillId="0" borderId="0" xfId="0" applyNumberFormat="1" applyFont="1" applyProtection="1">
      <protection hidden="1"/>
    </xf>
    <xf numFmtId="44" fontId="30" fillId="0" borderId="69" xfId="2" applyFont="1" applyFill="1" applyBorder="1" applyProtection="1">
      <protection hidden="1"/>
    </xf>
    <xf numFmtId="44" fontId="30" fillId="0" borderId="74" xfId="2" applyFont="1" applyFill="1" applyBorder="1" applyProtection="1">
      <protection hidden="1"/>
    </xf>
    <xf numFmtId="0" fontId="49" fillId="0" borderId="61" xfId="0" applyFont="1" applyBorder="1" applyAlignment="1" applyProtection="1">
      <alignment horizontal="right"/>
      <protection hidden="1"/>
    </xf>
    <xf numFmtId="44" fontId="14" fillId="14" borderId="68" xfId="2" applyFont="1" applyFill="1" applyBorder="1" applyAlignment="1" applyProtection="1">
      <alignment horizontal="right" vertical="center"/>
      <protection hidden="1"/>
    </xf>
    <xf numFmtId="44" fontId="6" fillId="14" borderId="96" xfId="2" applyFont="1" applyFill="1" applyBorder="1" applyAlignment="1">
      <alignment horizontal="right" vertical="center"/>
    </xf>
    <xf numFmtId="0" fontId="30" fillId="0" borderId="75" xfId="0" applyFont="1" applyBorder="1" applyAlignment="1" applyProtection="1">
      <alignment horizontal="center"/>
      <protection hidden="1"/>
    </xf>
    <xf numFmtId="0" fontId="29" fillId="0" borderId="75" xfId="0" applyFont="1" applyBorder="1" applyAlignment="1" applyProtection="1">
      <alignment horizontal="left"/>
      <protection hidden="1"/>
    </xf>
    <xf numFmtId="4" fontId="30" fillId="0" borderId="62" xfId="0" applyNumberFormat="1" applyFont="1" applyBorder="1" applyProtection="1">
      <protection hidden="1"/>
    </xf>
    <xf numFmtId="0" fontId="27" fillId="14" borderId="105" xfId="0" applyFont="1" applyFill="1" applyBorder="1" applyAlignment="1" applyProtection="1">
      <alignment vertical="center"/>
      <protection hidden="1"/>
    </xf>
    <xf numFmtId="0" fontId="25" fillId="5" borderId="3" xfId="0" applyFont="1" applyFill="1" applyBorder="1" applyProtection="1">
      <protection hidden="1"/>
    </xf>
    <xf numFmtId="4" fontId="4" fillId="8" borderId="89" xfId="0" applyNumberFormat="1" applyFont="1" applyFill="1" applyBorder="1" applyAlignment="1" applyProtection="1">
      <alignment horizontal="center"/>
      <protection hidden="1"/>
    </xf>
    <xf numFmtId="3" fontId="4" fillId="8" borderId="129" xfId="0" applyNumberFormat="1" applyFont="1" applyFill="1" applyBorder="1" applyAlignment="1" applyProtection="1">
      <alignment horizontal="center" vertical="center"/>
      <protection hidden="1"/>
    </xf>
    <xf numFmtId="4" fontId="4" fillId="8" borderId="85" xfId="0" applyNumberFormat="1" applyFont="1" applyFill="1" applyBorder="1" applyAlignment="1" applyProtection="1">
      <alignment horizontal="center"/>
      <protection hidden="1"/>
    </xf>
    <xf numFmtId="3" fontId="4" fillId="8" borderId="130" xfId="0" applyNumberFormat="1" applyFont="1" applyFill="1" applyBorder="1" applyAlignment="1" applyProtection="1">
      <alignment horizontal="center" vertical="center"/>
      <protection hidden="1"/>
    </xf>
    <xf numFmtId="170" fontId="4" fillId="8" borderId="85" xfId="1" applyNumberFormat="1" applyFont="1" applyFill="1" applyBorder="1" applyAlignment="1" applyProtection="1">
      <alignment horizontal="center"/>
      <protection hidden="1"/>
    </xf>
    <xf numFmtId="3" fontId="4" fillId="8" borderId="130" xfId="1" applyNumberFormat="1" applyFont="1" applyFill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horizontal="right" vertical="top"/>
      <protection hidden="1"/>
    </xf>
    <xf numFmtId="0" fontId="4" fillId="8" borderId="129" xfId="0" applyFont="1" applyFill="1" applyBorder="1" applyAlignment="1" applyProtection="1">
      <alignment horizontal="right" vertical="top"/>
      <protection hidden="1"/>
    </xf>
    <xf numFmtId="4" fontId="4" fillId="8" borderId="87" xfId="0" applyNumberFormat="1" applyFont="1" applyFill="1" applyBorder="1" applyAlignment="1" applyProtection="1">
      <alignment horizontal="center"/>
      <protection hidden="1"/>
    </xf>
    <xf numFmtId="171" fontId="4" fillId="8" borderId="129" xfId="1" applyNumberFormat="1" applyFont="1" applyFill="1" applyBorder="1" applyAlignment="1" applyProtection="1">
      <alignment horizontal="center" vertical="center"/>
      <protection hidden="1"/>
    </xf>
    <xf numFmtId="4" fontId="4" fillId="8" borderId="141" xfId="0" applyNumberFormat="1" applyFont="1" applyFill="1" applyBorder="1" applyAlignment="1" applyProtection="1">
      <alignment horizontal="center"/>
      <protection hidden="1"/>
    </xf>
    <xf numFmtId="171" fontId="4" fillId="8" borderId="140" xfId="1" applyNumberFormat="1" applyFont="1" applyFill="1" applyBorder="1" applyAlignment="1" applyProtection="1">
      <alignment horizontal="center" vertical="center"/>
      <protection hidden="1"/>
    </xf>
    <xf numFmtId="0" fontId="0" fillId="54" borderId="0" xfId="0" applyFill="1"/>
    <xf numFmtId="4" fontId="14" fillId="66" borderId="97" xfId="0" applyNumberFormat="1" applyFont="1" applyFill="1" applyBorder="1" applyProtection="1">
      <protection hidden="1"/>
    </xf>
    <xf numFmtId="44" fontId="14" fillId="66" borderId="97" xfId="2" applyFont="1" applyFill="1" applyBorder="1" applyProtection="1">
      <protection hidden="1"/>
    </xf>
    <xf numFmtId="0" fontId="0" fillId="66" borderId="105" xfId="0" applyFill="1" applyBorder="1" applyProtection="1">
      <protection hidden="1"/>
    </xf>
    <xf numFmtId="0" fontId="0" fillId="66" borderId="0" xfId="0" applyFill="1" applyAlignment="1" applyProtection="1">
      <alignment horizontal="center"/>
      <protection hidden="1"/>
    </xf>
    <xf numFmtId="0" fontId="0" fillId="60" borderId="0" xfId="0" applyFill="1" applyAlignment="1" applyProtection="1">
      <alignment horizontal="center"/>
      <protection hidden="1"/>
    </xf>
    <xf numFmtId="0" fontId="0" fillId="55" borderId="0" xfId="0" applyFill="1" applyAlignment="1" applyProtection="1">
      <alignment horizontal="center"/>
      <protection hidden="1"/>
    </xf>
    <xf numFmtId="0" fontId="0" fillId="0" borderId="95" xfId="0" applyBorder="1" applyAlignment="1" applyProtection="1">
      <alignment horizontal="center"/>
      <protection hidden="1"/>
    </xf>
    <xf numFmtId="16" fontId="0" fillId="66" borderId="0" xfId="0" applyNumberFormat="1" applyFill="1" applyProtection="1">
      <protection hidden="1"/>
    </xf>
    <xf numFmtId="0" fontId="18" fillId="47" borderId="7" xfId="11" applyFont="1" applyFill="1" applyBorder="1" applyAlignment="1" applyProtection="1">
      <alignment horizontal="center" wrapText="1"/>
      <protection hidden="1"/>
    </xf>
    <xf numFmtId="43" fontId="22" fillId="71" borderId="16" xfId="1" applyFont="1" applyFill="1" applyBorder="1" applyProtection="1">
      <protection hidden="1"/>
    </xf>
    <xf numFmtId="4" fontId="5" fillId="6" borderId="61" xfId="0" applyNumberFormat="1" applyFont="1" applyFill="1" applyBorder="1" applyProtection="1">
      <protection hidden="1"/>
    </xf>
    <xf numFmtId="0" fontId="27" fillId="14" borderId="167" xfId="0" applyFont="1" applyFill="1" applyBorder="1" applyAlignment="1" applyProtection="1">
      <alignment horizontal="left" vertical="center"/>
      <protection hidden="1"/>
    </xf>
    <xf numFmtId="0" fontId="27" fillId="14" borderId="176" xfId="0" applyFont="1" applyFill="1" applyBorder="1" applyAlignment="1" applyProtection="1">
      <alignment horizontal="left" vertical="top"/>
      <protection hidden="1"/>
    </xf>
    <xf numFmtId="0" fontId="23" fillId="0" borderId="33" xfId="0" applyFont="1" applyBorder="1" applyAlignment="1">
      <alignment horizontal="center"/>
    </xf>
    <xf numFmtId="0" fontId="0" fillId="0" borderId="63" xfId="0" applyBorder="1"/>
    <xf numFmtId="0" fontId="0" fillId="0" borderId="105" xfId="0" applyBorder="1" applyProtection="1">
      <protection hidden="1"/>
    </xf>
    <xf numFmtId="0" fontId="0" fillId="0" borderId="106" xfId="0" applyBorder="1" applyProtection="1">
      <protection hidden="1"/>
    </xf>
    <xf numFmtId="44" fontId="14" fillId="0" borderId="107" xfId="2" applyFont="1" applyFill="1" applyBorder="1" applyProtection="1">
      <protection hidden="1"/>
    </xf>
    <xf numFmtId="0" fontId="84" fillId="0" borderId="107" xfId="0" applyFont="1" applyBorder="1" applyProtection="1">
      <protection hidden="1"/>
    </xf>
    <xf numFmtId="0" fontId="0" fillId="66" borderId="0" xfId="0" applyFill="1" applyAlignment="1" applyProtection="1">
      <alignment horizontal="left" vertical="center"/>
      <protection hidden="1"/>
    </xf>
    <xf numFmtId="43" fontId="4" fillId="8" borderId="177" xfId="1" applyFont="1" applyFill="1" applyBorder="1" applyAlignment="1" applyProtection="1">
      <alignment horizontal="left" vertical="center"/>
      <protection hidden="1"/>
    </xf>
    <xf numFmtId="44" fontId="4" fillId="8" borderId="177" xfId="2" applyFont="1" applyFill="1" applyBorder="1" applyAlignment="1" applyProtection="1">
      <alignment horizontal="center"/>
      <protection hidden="1"/>
    </xf>
    <xf numFmtId="4" fontId="0" fillId="0" borderId="0" xfId="0" applyNumberFormat="1" applyProtection="1">
      <protection hidden="1"/>
    </xf>
    <xf numFmtId="4" fontId="5" fillId="14" borderId="97" xfId="0" applyNumberFormat="1" applyFont="1" applyFill="1" applyBorder="1" applyProtection="1">
      <protection locked="0"/>
    </xf>
    <xf numFmtId="0" fontId="3" fillId="64" borderId="106" xfId="0" applyFont="1" applyFill="1" applyBorder="1" applyProtection="1">
      <protection hidden="1"/>
    </xf>
    <xf numFmtId="43" fontId="4" fillId="8" borderId="131" xfId="1" applyFont="1" applyFill="1" applyBorder="1" applyAlignment="1" applyProtection="1">
      <alignment horizontal="center"/>
      <protection hidden="1"/>
    </xf>
    <xf numFmtId="43" fontId="4" fillId="8" borderId="129" xfId="1" applyFont="1" applyFill="1" applyBorder="1" applyAlignment="1" applyProtection="1">
      <alignment horizontal="center"/>
      <protection hidden="1"/>
    </xf>
    <xf numFmtId="4" fontId="14" fillId="0" borderId="178" xfId="0" applyNumberFormat="1" applyFont="1" applyBorder="1" applyProtection="1">
      <protection hidden="1"/>
    </xf>
    <xf numFmtId="44" fontId="14" fillId="0" borderId="179" xfId="2" applyFont="1" applyFill="1" applyBorder="1" applyProtection="1">
      <protection hidden="1"/>
    </xf>
    <xf numFmtId="4" fontId="8" fillId="64" borderId="75" xfId="0" applyNumberFormat="1" applyFont="1" applyFill="1" applyBorder="1" applyAlignment="1" applyProtection="1">
      <alignment horizontal="left" vertical="center"/>
      <protection hidden="1"/>
    </xf>
    <xf numFmtId="0" fontId="2" fillId="64" borderId="61" xfId="0" applyFont="1" applyFill="1" applyBorder="1" applyAlignment="1" applyProtection="1">
      <alignment horizontal="left" vertical="center"/>
      <protection hidden="1"/>
    </xf>
    <xf numFmtId="0" fontId="8" fillId="65" borderId="95" xfId="0" applyFont="1" applyFill="1" applyBorder="1" applyAlignment="1" applyProtection="1">
      <alignment horizontal="center" vertical="top"/>
      <protection hidden="1"/>
    </xf>
    <xf numFmtId="0" fontId="0" fillId="14" borderId="0" xfId="0" applyFill="1"/>
    <xf numFmtId="0" fontId="83" fillId="14" borderId="105" xfId="0" applyFont="1" applyFill="1" applyBorder="1" applyAlignment="1" applyProtection="1">
      <alignment horizontal="center" vertical="center"/>
      <protection hidden="1"/>
    </xf>
    <xf numFmtId="0" fontId="0" fillId="14" borderId="97" xfId="0" applyFill="1" applyBorder="1" applyProtection="1">
      <protection hidden="1"/>
    </xf>
    <xf numFmtId="0" fontId="0" fillId="14" borderId="68" xfId="0" applyFill="1" applyBorder="1" applyProtection="1">
      <protection hidden="1"/>
    </xf>
    <xf numFmtId="0" fontId="0" fillId="14" borderId="95" xfId="0" applyFill="1" applyBorder="1" applyProtection="1">
      <protection hidden="1"/>
    </xf>
    <xf numFmtId="0" fontId="83" fillId="6" borderId="105" xfId="0" applyFont="1" applyFill="1" applyBorder="1" applyAlignment="1" applyProtection="1">
      <alignment horizontal="center" vertical="center" wrapText="1"/>
      <protection hidden="1"/>
    </xf>
    <xf numFmtId="0" fontId="0" fillId="0" borderId="97" xfId="0" applyBorder="1" applyAlignment="1" applyProtection="1">
      <alignment wrapText="1"/>
      <protection hidden="1"/>
    </xf>
    <xf numFmtId="0" fontId="0" fillId="0" borderId="68" xfId="0" applyBorder="1" applyAlignment="1" applyProtection="1">
      <alignment wrapText="1"/>
      <protection hidden="1"/>
    </xf>
    <xf numFmtId="0" fontId="0" fillId="0" borderId="95" xfId="0" applyBorder="1" applyAlignment="1" applyProtection="1">
      <alignment wrapText="1"/>
      <protection hidden="1"/>
    </xf>
    <xf numFmtId="4" fontId="4" fillId="8" borderId="139" xfId="0" applyNumberFormat="1" applyFont="1" applyFill="1" applyBorder="1" applyAlignment="1" applyProtection="1">
      <alignment horizontal="center"/>
      <protection hidden="1"/>
    </xf>
    <xf numFmtId="0" fontId="0" fillId="8" borderId="89" xfId="0" applyFill="1" applyBorder="1" applyProtection="1">
      <protection hidden="1"/>
    </xf>
    <xf numFmtId="167" fontId="4" fillId="8" borderId="131" xfId="0" applyNumberFormat="1" applyFont="1" applyFill="1" applyBorder="1" applyAlignment="1" applyProtection="1">
      <alignment horizontal="center"/>
      <protection hidden="1"/>
    </xf>
    <xf numFmtId="167" fontId="0" fillId="8" borderId="129" xfId="0" applyNumberFormat="1" applyFill="1" applyBorder="1" applyProtection="1">
      <protection hidden="1"/>
    </xf>
    <xf numFmtId="0" fontId="4" fillId="8" borderId="107" xfId="0" applyFont="1" applyFill="1" applyBorder="1" applyAlignment="1" applyProtection="1">
      <alignment horizontal="center" vertical="center" wrapText="1"/>
      <protection hidden="1"/>
    </xf>
    <xf numFmtId="0" fontId="0" fillId="8" borderId="0" xfId="0" applyFill="1" applyAlignment="1" applyProtection="1">
      <alignment wrapText="1"/>
      <protection hidden="1"/>
    </xf>
    <xf numFmtId="0" fontId="0" fillId="8" borderId="107" xfId="0" applyFill="1" applyBorder="1" applyAlignment="1" applyProtection="1">
      <alignment wrapText="1"/>
      <protection hidden="1"/>
    </xf>
    <xf numFmtId="0" fontId="4" fillId="68" borderId="107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0" fillId="0" borderId="108" xfId="0" applyBorder="1" applyAlignment="1" applyProtection="1">
      <alignment wrapText="1"/>
      <protection hidden="1"/>
    </xf>
    <xf numFmtId="0" fontId="0" fillId="0" borderId="107" xfId="0" applyBorder="1" applyAlignment="1" applyProtection="1">
      <alignment wrapText="1"/>
      <protection hidden="1"/>
    </xf>
    <xf numFmtId="0" fontId="83" fillId="14" borderId="63" xfId="0" applyFont="1" applyFill="1" applyBorder="1" applyAlignment="1" applyProtection="1">
      <alignment horizontal="center" vertical="center"/>
      <protection hidden="1"/>
    </xf>
    <xf numFmtId="0" fontId="0" fillId="14" borderId="75" xfId="0" applyFill="1" applyBorder="1" applyAlignment="1" applyProtection="1">
      <alignment horizontal="center" vertical="center"/>
      <protection hidden="1"/>
    </xf>
    <xf numFmtId="0" fontId="0" fillId="14" borderId="62" xfId="0" applyFill="1" applyBorder="1" applyAlignment="1" applyProtection="1">
      <alignment horizontal="center" vertical="center"/>
      <protection hidden="1"/>
    </xf>
    <xf numFmtId="4" fontId="4" fillId="8" borderId="131" xfId="0" applyNumberFormat="1" applyFont="1" applyFill="1" applyBorder="1" applyAlignment="1" applyProtection="1">
      <alignment horizontal="center"/>
      <protection hidden="1"/>
    </xf>
    <xf numFmtId="0" fontId="0" fillId="8" borderId="129" xfId="0" applyFill="1" applyBorder="1" applyProtection="1">
      <protection hidden="1"/>
    </xf>
    <xf numFmtId="0" fontId="83" fillId="6" borderId="63" xfId="0" applyFont="1" applyFill="1" applyBorder="1" applyAlignment="1" applyProtection="1">
      <alignment horizontal="center" vertical="center"/>
      <protection hidden="1"/>
    </xf>
    <xf numFmtId="0" fontId="0" fillId="0" borderId="75" xfId="0" applyBorder="1" applyAlignment="1" applyProtection="1">
      <alignment horizontal="center" vertical="center"/>
      <protection hidden="1"/>
    </xf>
    <xf numFmtId="0" fontId="0" fillId="0" borderId="62" xfId="0" applyBorder="1" applyAlignment="1" applyProtection="1">
      <alignment horizontal="center" vertical="center"/>
      <protection hidden="1"/>
    </xf>
    <xf numFmtId="0" fontId="4" fillId="8" borderId="86" xfId="0" applyFont="1" applyFill="1" applyBorder="1" applyAlignment="1" applyProtection="1">
      <alignment horizontal="center" vertical="center"/>
      <protection hidden="1"/>
    </xf>
    <xf numFmtId="0" fontId="0" fillId="8" borderId="87" xfId="0" applyFill="1" applyBorder="1" applyAlignment="1" applyProtection="1">
      <alignment horizontal="center" vertical="center"/>
      <protection hidden="1"/>
    </xf>
    <xf numFmtId="0" fontId="6" fillId="6" borderId="105" xfId="0" applyFont="1" applyFill="1" applyBorder="1" applyAlignment="1" applyProtection="1">
      <alignment horizontal="center" vertical="center" wrapText="1"/>
      <protection hidden="1"/>
    </xf>
    <xf numFmtId="0" fontId="0" fillId="0" borderId="97" xfId="0" applyBorder="1" applyAlignment="1" applyProtection="1">
      <alignment horizontal="center" vertical="center" wrapText="1"/>
      <protection hidden="1"/>
    </xf>
    <xf numFmtId="0" fontId="0" fillId="0" borderId="106" xfId="0" applyBorder="1" applyAlignment="1" applyProtection="1">
      <alignment horizontal="center" vertical="center" wrapText="1"/>
      <protection hidden="1"/>
    </xf>
    <xf numFmtId="0" fontId="0" fillId="0" borderId="68" xfId="0" applyBorder="1" applyAlignment="1" applyProtection="1">
      <alignment horizontal="center" vertical="center" wrapText="1"/>
      <protection hidden="1"/>
    </xf>
    <xf numFmtId="0" fontId="0" fillId="0" borderId="95" xfId="0" applyBorder="1" applyAlignment="1" applyProtection="1">
      <alignment horizontal="center" vertical="center" wrapText="1"/>
      <protection hidden="1"/>
    </xf>
    <xf numFmtId="0" fontId="0" fillId="0" borderId="96" xfId="0" applyBorder="1" applyAlignment="1" applyProtection="1">
      <alignment horizontal="center" vertical="center" wrapText="1"/>
      <protection hidden="1"/>
    </xf>
    <xf numFmtId="0" fontId="4" fillId="8" borderId="124" xfId="0" applyFont="1" applyFill="1" applyBorder="1" applyAlignment="1" applyProtection="1">
      <alignment horizontal="center" vertical="center"/>
      <protection hidden="1"/>
    </xf>
    <xf numFmtId="0" fontId="0" fillId="8" borderId="125" xfId="0" applyFill="1" applyBorder="1" applyProtection="1">
      <protection hidden="1"/>
    </xf>
    <xf numFmtId="0" fontId="0" fillId="8" borderId="126" xfId="0" applyFill="1" applyBorder="1" applyProtection="1">
      <protection hidden="1"/>
    </xf>
    <xf numFmtId="171" fontId="4" fillId="8" borderId="131" xfId="1" applyNumberFormat="1" applyFont="1" applyFill="1" applyBorder="1" applyAlignment="1" applyProtection="1">
      <alignment horizontal="center" vertical="center"/>
      <protection hidden="1"/>
    </xf>
    <xf numFmtId="0" fontId="0" fillId="8" borderId="132" xfId="0" applyFill="1" applyBorder="1" applyProtection="1">
      <protection hidden="1"/>
    </xf>
    <xf numFmtId="0" fontId="0" fillId="8" borderId="125" xfId="0" applyFill="1" applyBorder="1" applyAlignment="1" applyProtection="1">
      <alignment horizontal="center" vertical="center"/>
      <protection hidden="1"/>
    </xf>
    <xf numFmtId="0" fontId="0" fillId="8" borderId="126" xfId="0" applyFill="1" applyBorder="1" applyAlignment="1" applyProtection="1">
      <alignment horizontal="center" vertical="center"/>
      <protection hidden="1"/>
    </xf>
    <xf numFmtId="0" fontId="0" fillId="8" borderId="131" xfId="0" applyFill="1" applyBorder="1" applyAlignment="1" applyProtection="1">
      <alignment horizontal="right" vertical="top"/>
      <protection hidden="1"/>
    </xf>
    <xf numFmtId="0" fontId="6" fillId="14" borderId="105" xfId="0" applyFont="1" applyFill="1" applyBorder="1" applyAlignment="1" applyProtection="1">
      <alignment horizontal="center" vertical="center"/>
      <protection hidden="1"/>
    </xf>
    <xf numFmtId="0" fontId="0" fillId="14" borderId="97" xfId="0" applyFill="1" applyBorder="1" applyAlignment="1" applyProtection="1">
      <alignment horizontal="center" vertical="center"/>
      <protection hidden="1"/>
    </xf>
    <xf numFmtId="0" fontId="0" fillId="14" borderId="123" xfId="0" applyFill="1" applyBorder="1" applyAlignment="1" applyProtection="1">
      <alignment horizontal="center" vertical="center"/>
      <protection hidden="1"/>
    </xf>
    <xf numFmtId="0" fontId="51" fillId="6" borderId="113" xfId="0" applyFont="1" applyFill="1" applyBorder="1" applyAlignment="1" applyProtection="1">
      <alignment horizontal="center" vertical="center" wrapText="1"/>
      <protection hidden="1"/>
    </xf>
    <xf numFmtId="0" fontId="5" fillId="6" borderId="60" xfId="0" applyFont="1" applyFill="1" applyBorder="1" applyAlignment="1" applyProtection="1">
      <alignment horizontal="center" vertical="center" wrapText="1"/>
      <protection hidden="1"/>
    </xf>
    <xf numFmtId="0" fontId="3" fillId="69" borderId="105" xfId="0" applyFont="1" applyFill="1" applyBorder="1" applyProtection="1">
      <protection hidden="1"/>
    </xf>
    <xf numFmtId="0" fontId="0" fillId="6" borderId="97" xfId="0" applyFill="1" applyBorder="1" applyProtection="1">
      <protection hidden="1"/>
    </xf>
    <xf numFmtId="0" fontId="0" fillId="6" borderId="106" xfId="0" applyFill="1" applyBorder="1" applyProtection="1">
      <protection hidden="1"/>
    </xf>
    <xf numFmtId="0" fontId="0" fillId="6" borderId="68" xfId="0" applyFill="1" applyBorder="1" applyProtection="1">
      <protection hidden="1"/>
    </xf>
    <xf numFmtId="0" fontId="0" fillId="6" borderId="95" xfId="0" applyFill="1" applyBorder="1" applyProtection="1">
      <protection hidden="1"/>
    </xf>
    <xf numFmtId="0" fontId="0" fillId="6" borderId="96" xfId="0" applyFill="1" applyBorder="1" applyProtection="1">
      <protection hidden="1"/>
    </xf>
    <xf numFmtId="0" fontId="6" fillId="14" borderId="63" xfId="0" applyFont="1" applyFill="1" applyBorder="1" applyAlignment="1" applyProtection="1">
      <alignment horizontal="center" vertical="center"/>
      <protection hidden="1"/>
    </xf>
    <xf numFmtId="0" fontId="6" fillId="14" borderId="68" xfId="0" applyFont="1" applyFill="1" applyBorder="1" applyAlignment="1" applyProtection="1">
      <alignment horizontal="center" vertical="center"/>
      <protection hidden="1"/>
    </xf>
    <xf numFmtId="0" fontId="0" fillId="14" borderId="95" xfId="0" applyFill="1" applyBorder="1" applyAlignment="1" applyProtection="1">
      <alignment horizontal="center" vertical="center"/>
      <protection hidden="1"/>
    </xf>
    <xf numFmtId="0" fontId="0" fillId="14" borderId="128" xfId="0" applyFill="1" applyBorder="1" applyAlignment="1" applyProtection="1">
      <alignment horizontal="center" vertical="center"/>
      <protection hidden="1"/>
    </xf>
    <xf numFmtId="0" fontId="6" fillId="6" borderId="63" xfId="0" applyFont="1" applyFill="1" applyBorder="1" applyAlignment="1" applyProtection="1">
      <alignment horizontal="center" vertical="center"/>
      <protection hidden="1"/>
    </xf>
    <xf numFmtId="0" fontId="0" fillId="0" borderId="122" xfId="0" applyBorder="1" applyAlignment="1" applyProtection="1">
      <alignment horizontal="center" vertical="center"/>
      <protection hidden="1"/>
    </xf>
    <xf numFmtId="0" fontId="56" fillId="66" borderId="0" xfId="0" applyFont="1" applyFill="1" applyAlignment="1" applyProtection="1">
      <alignment horizontal="left" vertical="top" textRotation="90" wrapText="1"/>
      <protection hidden="1"/>
    </xf>
    <xf numFmtId="0" fontId="56" fillId="66" borderId="0" xfId="0" applyFont="1" applyFill="1" applyAlignment="1" applyProtection="1">
      <alignment wrapText="1"/>
      <protection hidden="1"/>
    </xf>
    <xf numFmtId="0" fontId="56" fillId="66" borderId="0" xfId="0" applyFont="1" applyFill="1" applyAlignment="1" applyProtection="1">
      <alignment horizontal="center" vertical="top" textRotation="90" wrapText="1"/>
      <protection hidden="1"/>
    </xf>
    <xf numFmtId="4" fontId="5" fillId="14" borderId="106" xfId="0" applyNumberFormat="1" applyFont="1" applyFill="1" applyBorder="1" applyAlignment="1" applyProtection="1">
      <alignment horizontal="right" vertical="center"/>
      <protection locked="0"/>
    </xf>
    <xf numFmtId="0" fontId="0" fillId="0" borderId="96" xfId="0" applyBorder="1" applyAlignment="1" applyProtection="1">
      <alignment horizontal="right" vertical="center"/>
      <protection locked="0"/>
    </xf>
    <xf numFmtId="4" fontId="14" fillId="0" borderId="113" xfId="0" applyNumberFormat="1" applyFont="1" applyBorder="1" applyAlignment="1" applyProtection="1">
      <alignment horizontal="right" vertical="center"/>
      <protection hidden="1"/>
    </xf>
    <xf numFmtId="0" fontId="0" fillId="0" borderId="60" xfId="0" applyBorder="1" applyAlignment="1">
      <alignment horizontal="right" vertical="center"/>
    </xf>
    <xf numFmtId="172" fontId="6" fillId="6" borderId="118" xfId="0" applyNumberFormat="1" applyFont="1" applyFill="1" applyBorder="1" applyAlignment="1" applyProtection="1">
      <alignment horizontal="center" vertical="center" wrapText="1"/>
      <protection locked="0"/>
    </xf>
    <xf numFmtId="172" fontId="0" fillId="6" borderId="120" xfId="0" applyNumberFormat="1" applyFill="1" applyBorder="1" applyAlignment="1" applyProtection="1">
      <alignment wrapText="1"/>
      <protection locked="0"/>
    </xf>
    <xf numFmtId="0" fontId="46" fillId="66" borderId="0" xfId="0" applyFont="1" applyFill="1" applyAlignment="1" applyProtection="1">
      <alignment horizontal="left" wrapText="1"/>
      <protection hidden="1"/>
    </xf>
    <xf numFmtId="0" fontId="0" fillId="66" borderId="0" xfId="0" applyFill="1" applyAlignment="1">
      <alignment horizontal="left" wrapText="1"/>
    </xf>
    <xf numFmtId="0" fontId="8" fillId="65" borderId="105" xfId="0" applyFont="1" applyFill="1" applyBorder="1" applyAlignment="1" applyProtection="1">
      <alignment horizontal="center" vertical="center"/>
      <protection hidden="1"/>
    </xf>
    <xf numFmtId="0" fontId="72" fillId="65" borderId="68" xfId="0" applyFont="1" applyFill="1" applyBorder="1" applyAlignment="1" applyProtection="1">
      <alignment horizontal="center" vertical="center"/>
      <protection hidden="1"/>
    </xf>
    <xf numFmtId="0" fontId="0" fillId="65" borderId="97" xfId="0" applyFill="1" applyBorder="1" applyProtection="1">
      <protection hidden="1"/>
    </xf>
    <xf numFmtId="0" fontId="0" fillId="65" borderId="106" xfId="0" applyFill="1" applyBorder="1" applyProtection="1">
      <protection hidden="1"/>
    </xf>
    <xf numFmtId="44" fontId="14" fillId="0" borderId="105" xfId="2" applyFont="1" applyFill="1" applyBorder="1" applyAlignment="1" applyProtection="1">
      <alignment horizontal="right" vertical="center"/>
      <protection hidden="1"/>
    </xf>
    <xf numFmtId="0" fontId="0" fillId="0" borderId="68" xfId="0" applyBorder="1" applyAlignment="1">
      <alignment horizontal="right" vertical="center"/>
    </xf>
    <xf numFmtId="0" fontId="2" fillId="65" borderId="0" xfId="0" applyFont="1" applyFill="1" applyAlignment="1" applyProtection="1">
      <alignment horizontal="center" vertical="center"/>
      <protection hidden="1"/>
    </xf>
    <xf numFmtId="0" fontId="0" fillId="65" borderId="0" xfId="0" applyFill="1" applyProtection="1">
      <protection hidden="1"/>
    </xf>
    <xf numFmtId="0" fontId="90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4" fillId="0" borderId="0" xfId="0" applyFont="1" applyAlignment="1" applyProtection="1">
      <alignment horizontal="center" vertical="center" wrapText="1"/>
      <protection hidden="1"/>
    </xf>
    <xf numFmtId="0" fontId="6" fillId="6" borderId="118" xfId="0" applyFont="1" applyFill="1" applyBorder="1" applyAlignment="1" applyProtection="1">
      <alignment horizontal="left" vertical="center"/>
      <protection locked="0"/>
    </xf>
    <xf numFmtId="0" fontId="6" fillId="6" borderId="119" xfId="0" applyFont="1" applyFill="1" applyBorder="1" applyAlignment="1" applyProtection="1">
      <alignment horizontal="left" vertical="center"/>
      <protection locked="0"/>
    </xf>
    <xf numFmtId="0" fontId="6" fillId="6" borderId="120" xfId="0" applyFont="1" applyFill="1" applyBorder="1" applyAlignment="1" applyProtection="1">
      <alignment horizontal="left" vertical="center"/>
      <protection locked="0"/>
    </xf>
    <xf numFmtId="165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vertical="top"/>
      <protection hidden="1"/>
    </xf>
    <xf numFmtId="44" fontId="49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56" fillId="66" borderId="0" xfId="0" applyFont="1" applyFill="1" applyAlignment="1" applyProtection="1">
      <alignment horizontal="left" wrapText="1"/>
      <protection hidden="1"/>
    </xf>
    <xf numFmtId="0" fontId="0" fillId="0" borderId="0" xfId="0" applyAlignment="1">
      <alignment horizontal="left" wrapText="1"/>
    </xf>
    <xf numFmtId="0" fontId="83" fillId="14" borderId="105" xfId="0" applyFont="1" applyFill="1" applyBorder="1" applyAlignment="1" applyProtection="1">
      <alignment horizontal="center" vertical="center" wrapText="1"/>
      <protection hidden="1"/>
    </xf>
    <xf numFmtId="0" fontId="0" fillId="14" borderId="97" xfId="0" applyFill="1" applyBorder="1" applyAlignment="1" applyProtection="1">
      <alignment wrapText="1"/>
      <protection hidden="1"/>
    </xf>
    <xf numFmtId="0" fontId="0" fillId="14" borderId="106" xfId="0" applyFill="1" applyBorder="1" applyAlignment="1" applyProtection="1">
      <alignment wrapText="1"/>
      <protection hidden="1"/>
    </xf>
    <xf numFmtId="0" fontId="0" fillId="14" borderId="107" xfId="0" applyFill="1" applyBorder="1" applyAlignment="1" applyProtection="1">
      <alignment wrapText="1"/>
      <protection hidden="1"/>
    </xf>
    <xf numFmtId="0" fontId="0" fillId="14" borderId="0" xfId="0" applyFill="1" applyAlignment="1" applyProtection="1">
      <alignment wrapText="1"/>
      <protection hidden="1"/>
    </xf>
    <xf numFmtId="0" fontId="0" fillId="14" borderId="108" xfId="0" applyFill="1" applyBorder="1" applyAlignment="1" applyProtection="1">
      <alignment wrapText="1"/>
      <protection hidden="1"/>
    </xf>
    <xf numFmtId="0" fontId="0" fillId="14" borderId="68" xfId="0" applyFill="1" applyBorder="1" applyAlignment="1" applyProtection="1">
      <alignment wrapText="1"/>
      <protection hidden="1"/>
    </xf>
    <xf numFmtId="0" fontId="0" fillId="14" borderId="95" xfId="0" applyFill="1" applyBorder="1" applyAlignment="1" applyProtection="1">
      <alignment wrapText="1"/>
      <protection hidden="1"/>
    </xf>
    <xf numFmtId="0" fontId="0" fillId="14" borderId="96" xfId="0" applyFill="1" applyBorder="1" applyAlignment="1" applyProtection="1">
      <alignment wrapText="1"/>
      <protection hidden="1"/>
    </xf>
    <xf numFmtId="0" fontId="0" fillId="0" borderId="107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108" xfId="0" applyBorder="1" applyAlignment="1" applyProtection="1">
      <alignment horizontal="center" vertical="center" wrapText="1"/>
      <protection hidden="1"/>
    </xf>
    <xf numFmtId="0" fontId="0" fillId="14" borderId="97" xfId="0" applyFill="1" applyBorder="1" applyAlignment="1" applyProtection="1">
      <alignment horizontal="center" vertical="center" wrapText="1"/>
      <protection hidden="1"/>
    </xf>
    <xf numFmtId="0" fontId="0" fillId="14" borderId="106" xfId="0" applyFill="1" applyBorder="1" applyAlignment="1" applyProtection="1">
      <alignment horizontal="center" vertical="center" wrapText="1"/>
      <protection hidden="1"/>
    </xf>
    <xf numFmtId="0" fontId="0" fillId="14" borderId="68" xfId="0" applyFill="1" applyBorder="1" applyAlignment="1" applyProtection="1">
      <alignment horizontal="center" vertical="center" wrapText="1"/>
      <protection hidden="1"/>
    </xf>
    <xf numFmtId="0" fontId="0" fillId="14" borderId="95" xfId="0" applyFill="1" applyBorder="1" applyAlignment="1" applyProtection="1">
      <alignment horizontal="center" vertical="center" wrapText="1"/>
      <protection hidden="1"/>
    </xf>
    <xf numFmtId="0" fontId="0" fillId="14" borderId="96" xfId="0" applyFill="1" applyBorder="1" applyAlignment="1" applyProtection="1">
      <alignment horizontal="center" vertical="center" wrapText="1"/>
      <protection hidden="1"/>
    </xf>
    <xf numFmtId="0" fontId="2" fillId="64" borderId="95" xfId="0" applyFont="1" applyFill="1" applyBorder="1" applyAlignment="1" applyProtection="1">
      <alignment horizontal="right" vertical="center"/>
      <protection hidden="1"/>
    </xf>
    <xf numFmtId="0" fontId="0" fillId="0" borderId="108" xfId="0" applyBorder="1" applyAlignment="1">
      <alignment horizontal="right"/>
    </xf>
    <xf numFmtId="0" fontId="6" fillId="6" borderId="10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6" fillId="6" borderId="75" xfId="0" applyFont="1" applyFill="1" applyBorder="1" applyAlignment="1" applyProtection="1">
      <alignment horizontal="center" vertical="center"/>
      <protection hidden="1"/>
    </xf>
    <xf numFmtId="0" fontId="6" fillId="6" borderId="62" xfId="0" applyFont="1" applyFill="1" applyBorder="1" applyAlignment="1" applyProtection="1">
      <alignment horizontal="center" vertical="center"/>
      <protection hidden="1"/>
    </xf>
    <xf numFmtId="0" fontId="80" fillId="65" borderId="0" xfId="0" applyFont="1" applyFill="1" applyAlignment="1" applyProtection="1">
      <alignment horizontal="center" vertical="center"/>
      <protection hidden="1"/>
    </xf>
    <xf numFmtId="44" fontId="51" fillId="0" borderId="75" xfId="2" applyFont="1" applyFill="1" applyBorder="1" applyAlignment="1" applyProtection="1">
      <alignment horizontal="right" vertical="center"/>
      <protection hidden="1"/>
    </xf>
    <xf numFmtId="0" fontId="0" fillId="0" borderId="62" xfId="0" applyBorder="1" applyProtection="1">
      <protection hidden="1"/>
    </xf>
    <xf numFmtId="44" fontId="51" fillId="0" borderId="63" xfId="2" applyFont="1" applyFill="1" applyBorder="1" applyAlignment="1" applyProtection="1">
      <alignment horizontal="right" vertical="center"/>
      <protection hidden="1"/>
    </xf>
    <xf numFmtId="44" fontId="92" fillId="8" borderId="97" xfId="2" applyFont="1" applyFill="1" applyBorder="1" applyAlignment="1" applyProtection="1">
      <alignment horizontal="right" vertical="center" wrapText="1"/>
      <protection hidden="1"/>
    </xf>
    <xf numFmtId="0" fontId="0" fillId="0" borderId="97" xfId="0" applyBorder="1" applyAlignment="1">
      <alignment wrapText="1"/>
    </xf>
    <xf numFmtId="0" fontId="73" fillId="65" borderId="97" xfId="0" applyFont="1" applyFill="1" applyBorder="1" applyAlignment="1" applyProtection="1">
      <alignment horizontal="center" vertical="center"/>
      <protection hidden="1"/>
    </xf>
    <xf numFmtId="0" fontId="0" fillId="65" borderId="97" xfId="0" applyFill="1" applyBorder="1" applyAlignment="1">
      <alignment horizontal="center" vertical="center"/>
    </xf>
    <xf numFmtId="0" fontId="98" fillId="0" borderId="105" xfId="0" applyFont="1" applyBorder="1" applyAlignment="1" applyProtection="1">
      <alignment horizontal="center" vertical="center" wrapText="1"/>
      <protection hidden="1"/>
    </xf>
    <xf numFmtId="0" fontId="97" fillId="0" borderId="106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96" xfId="0" applyFont="1" applyBorder="1" applyAlignment="1">
      <alignment horizontal="center" vertical="center" wrapText="1"/>
    </xf>
    <xf numFmtId="44" fontId="51" fillId="0" borderId="105" xfId="2" applyFont="1" applyFill="1" applyBorder="1" applyAlignment="1" applyProtection="1">
      <alignment horizontal="right" vertical="center" wrapText="1"/>
      <protection hidden="1"/>
    </xf>
    <xf numFmtId="0" fontId="0" fillId="0" borderId="106" xfId="0" applyBorder="1" applyAlignment="1" applyProtection="1">
      <alignment wrapText="1"/>
      <protection hidden="1"/>
    </xf>
    <xf numFmtId="0" fontId="0" fillId="0" borderId="96" xfId="0" applyBorder="1" applyAlignment="1" applyProtection="1">
      <alignment wrapText="1"/>
      <protection hidden="1"/>
    </xf>
    <xf numFmtId="0" fontId="98" fillId="66" borderId="0" xfId="0" applyFont="1" applyFill="1" applyAlignment="1" applyProtection="1">
      <alignment horizontal="center" vertical="center"/>
      <protection hidden="1"/>
    </xf>
    <xf numFmtId="0" fontId="0" fillId="0" borderId="108" xfId="0" applyBorder="1" applyAlignment="1">
      <alignment horizontal="center" vertical="center"/>
    </xf>
    <xf numFmtId="4" fontId="98" fillId="66" borderId="0" xfId="0" applyNumberFormat="1" applyFont="1" applyFill="1" applyAlignment="1" applyProtection="1">
      <alignment horizontal="center" vertical="center"/>
      <protection hidden="1"/>
    </xf>
    <xf numFmtId="0" fontId="0" fillId="66" borderId="0" xfId="0" applyFill="1" applyAlignment="1">
      <alignment horizontal="center" vertical="center"/>
    </xf>
    <xf numFmtId="0" fontId="56" fillId="66" borderId="0" xfId="0" applyFont="1" applyFill="1" applyAlignment="1" applyProtection="1">
      <alignment horizontal="left" vertical="center" wrapText="1"/>
      <protection hidden="1"/>
    </xf>
    <xf numFmtId="0" fontId="0" fillId="0" borderId="0" xfId="0" applyAlignment="1">
      <alignment vertical="center" wrapText="1"/>
    </xf>
    <xf numFmtId="44" fontId="14" fillId="0" borderId="113" xfId="2" applyFont="1" applyFill="1" applyBorder="1" applyAlignment="1" applyProtection="1">
      <alignment horizontal="center" vertical="center" wrapText="1"/>
      <protection hidden="1"/>
    </xf>
    <xf numFmtId="0" fontId="0" fillId="0" borderId="121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8" fillId="65" borderId="95" xfId="0" applyFont="1" applyFill="1" applyBorder="1" applyAlignment="1" applyProtection="1">
      <alignment horizontal="center" vertical="center" wrapText="1"/>
      <protection hidden="1"/>
    </xf>
    <xf numFmtId="0" fontId="0" fillId="0" borderId="95" xfId="0" applyBorder="1" applyAlignment="1" applyProtection="1">
      <alignment horizontal="center" wrapText="1"/>
      <protection hidden="1"/>
    </xf>
    <xf numFmtId="0" fontId="84" fillId="0" borderId="105" xfId="0" applyFont="1" applyBorder="1" applyAlignment="1" applyProtection="1">
      <alignment wrapText="1"/>
      <protection hidden="1"/>
    </xf>
    <xf numFmtId="0" fontId="0" fillId="0" borderId="107" xfId="0" applyBorder="1" applyAlignment="1">
      <alignment wrapText="1"/>
    </xf>
    <xf numFmtId="0" fontId="0" fillId="0" borderId="108" xfId="0" applyBorder="1" applyAlignment="1">
      <alignment wrapText="1"/>
    </xf>
    <xf numFmtId="0" fontId="6" fillId="6" borderId="0" xfId="0" applyFont="1" applyFill="1" applyAlignment="1" applyProtection="1">
      <alignment horizontal="center" vertical="center"/>
      <protection hidden="1"/>
    </xf>
    <xf numFmtId="0" fontId="84" fillId="0" borderId="63" xfId="0" applyFont="1" applyBorder="1" applyAlignment="1" applyProtection="1">
      <alignment wrapText="1"/>
      <protection hidden="1"/>
    </xf>
    <xf numFmtId="0" fontId="0" fillId="0" borderId="62" xfId="0" applyBorder="1" applyAlignment="1">
      <alignment wrapText="1"/>
    </xf>
    <xf numFmtId="0" fontId="50" fillId="14" borderId="63" xfId="0" applyFont="1" applyFill="1" applyBorder="1" applyAlignment="1" applyProtection="1">
      <alignment horizontal="center" vertical="center"/>
      <protection hidden="1"/>
    </xf>
    <xf numFmtId="0" fontId="0" fillId="14" borderId="62" xfId="0" applyFill="1" applyBorder="1" applyAlignment="1">
      <alignment horizontal="center" vertical="center"/>
    </xf>
    <xf numFmtId="4" fontId="5" fillId="0" borderId="68" xfId="0" applyNumberFormat="1" applyFont="1" applyBorder="1" applyAlignment="1" applyProtection="1">
      <alignment horizontal="center" vertical="center"/>
      <protection hidden="1"/>
    </xf>
    <xf numFmtId="0" fontId="0" fillId="0" borderId="96" xfId="0" applyBorder="1" applyAlignment="1">
      <alignment horizontal="center" vertical="center"/>
    </xf>
    <xf numFmtId="0" fontId="27" fillId="14" borderId="63" xfId="0" applyFont="1" applyFill="1" applyBorder="1" applyAlignment="1" applyProtection="1">
      <alignment horizontal="center"/>
      <protection hidden="1"/>
    </xf>
    <xf numFmtId="0" fontId="0" fillId="0" borderId="75" xfId="0" applyBorder="1"/>
    <xf numFmtId="0" fontId="0" fillId="0" borderId="62" xfId="0" applyBorder="1"/>
    <xf numFmtId="0" fontId="69" fillId="14" borderId="0" xfId="0" applyFont="1" applyFill="1" applyAlignment="1" applyProtection="1">
      <alignment horizontal="left" wrapText="1"/>
      <protection hidden="1"/>
    </xf>
    <xf numFmtId="165" fontId="56" fillId="0" borderId="0" xfId="0" applyNumberFormat="1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27" fillId="6" borderId="153" xfId="0" applyFont="1" applyFill="1" applyBorder="1" applyAlignment="1" applyProtection="1">
      <alignment horizontal="center" vertical="center" wrapText="1"/>
      <protection hidden="1"/>
    </xf>
    <xf numFmtId="0" fontId="0" fillId="0" borderId="154" xfId="0" applyBorder="1" applyAlignment="1">
      <alignment horizontal="center" vertical="center" wrapText="1"/>
    </xf>
    <xf numFmtId="44" fontId="28" fillId="6" borderId="63" xfId="2" applyFont="1" applyFill="1" applyBorder="1" applyAlignment="1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27" fillId="6" borderId="151" xfId="0" applyFont="1" applyFill="1" applyBorder="1" applyAlignment="1" applyProtection="1">
      <alignment horizontal="center" vertical="center" wrapText="1"/>
      <protection hidden="1"/>
    </xf>
    <xf numFmtId="0" fontId="0" fillId="0" borderId="155" xfId="0" applyBorder="1" applyAlignment="1">
      <alignment horizontal="center" vertical="center" wrapText="1"/>
    </xf>
    <xf numFmtId="0" fontId="0" fillId="0" borderId="157" xfId="0" applyBorder="1" applyAlignment="1">
      <alignment horizontal="center" vertical="center" wrapText="1"/>
    </xf>
    <xf numFmtId="44" fontId="14" fillId="14" borderId="63" xfId="2" applyFont="1" applyFill="1" applyBorder="1" applyAlignment="1" applyProtection="1">
      <protection hidden="1"/>
    </xf>
    <xf numFmtId="44" fontId="6" fillId="14" borderId="62" xfId="2" applyFont="1" applyFill="1" applyBorder="1" applyAlignment="1"/>
    <xf numFmtId="44" fontId="46" fillId="58" borderId="0" xfId="2" applyFont="1" applyFill="1" applyBorder="1" applyAlignment="1" applyProtection="1">
      <alignment horizontal="right"/>
      <protection hidden="1"/>
    </xf>
    <xf numFmtId="0" fontId="12" fillId="0" borderId="0" xfId="0" applyFont="1"/>
    <xf numFmtId="0" fontId="27" fillId="6" borderId="152" xfId="0" applyFont="1" applyFill="1" applyBorder="1" applyAlignment="1" applyProtection="1">
      <alignment horizontal="center" vertical="center" wrapText="1"/>
      <protection hidden="1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44" fontId="46" fillId="6" borderId="0" xfId="2" applyFont="1" applyFill="1" applyBorder="1" applyAlignment="1" applyProtection="1">
      <alignment horizontal="right"/>
      <protection hidden="1"/>
    </xf>
    <xf numFmtId="44" fontId="12" fillId="6" borderId="108" xfId="2" applyFont="1" applyFill="1" applyBorder="1" applyAlignment="1" applyProtection="1">
      <alignment horizontal="right"/>
      <protection hidden="1"/>
    </xf>
    <xf numFmtId="44" fontId="46" fillId="14" borderId="63" xfId="2" applyFont="1" applyFill="1" applyBorder="1" applyAlignment="1" applyProtection="1">
      <alignment horizontal="right"/>
      <protection hidden="1"/>
    </xf>
    <xf numFmtId="44" fontId="12" fillId="14" borderId="62" xfId="2" applyFont="1" applyFill="1" applyBorder="1" applyAlignment="1" applyProtection="1">
      <alignment horizontal="right"/>
      <protection hidden="1"/>
    </xf>
    <xf numFmtId="44" fontId="14" fillId="14" borderId="63" xfId="2" applyFont="1" applyFill="1" applyBorder="1" applyAlignment="1" applyProtection="1">
      <alignment horizontal="right" vertical="center"/>
      <protection hidden="1"/>
    </xf>
    <xf numFmtId="44" fontId="6" fillId="14" borderId="62" xfId="2" applyFont="1" applyFill="1" applyBorder="1" applyAlignment="1">
      <alignment horizontal="right" vertical="center"/>
    </xf>
    <xf numFmtId="0" fontId="27" fillId="14" borderId="153" xfId="0" applyFont="1" applyFill="1" applyBorder="1" applyAlignment="1" applyProtection="1">
      <alignment horizontal="center" vertical="center" wrapText="1"/>
      <protection hidden="1"/>
    </xf>
    <xf numFmtId="0" fontId="29" fillId="14" borderId="106" xfId="0" applyFont="1" applyFill="1" applyBorder="1" applyAlignment="1" applyProtection="1">
      <alignment horizontal="center" vertical="center" wrapText="1"/>
      <protection hidden="1"/>
    </xf>
    <xf numFmtId="0" fontId="27" fillId="14" borderId="81" xfId="0" applyFont="1" applyFill="1" applyBorder="1" applyAlignment="1" applyProtection="1">
      <alignment horizontal="center" vertical="center" wrapText="1"/>
      <protection hidden="1"/>
    </xf>
    <xf numFmtId="0" fontId="29" fillId="14" borderId="156" xfId="0" applyFont="1" applyFill="1" applyBorder="1" applyAlignment="1" applyProtection="1">
      <alignment horizontal="center" vertical="center" wrapText="1"/>
      <protection hidden="1"/>
    </xf>
    <xf numFmtId="10" fontId="5" fillId="0" borderId="63" xfId="3" applyNumberFormat="1" applyFont="1" applyBorder="1" applyAlignment="1" applyProtection="1">
      <alignment horizontal="center" vertical="center"/>
      <protection hidden="1"/>
    </xf>
    <xf numFmtId="10" fontId="5" fillId="0" borderId="62" xfId="3" applyNumberFormat="1" applyFont="1" applyBorder="1" applyAlignment="1">
      <alignment horizontal="center" vertical="center"/>
    </xf>
    <xf numFmtId="0" fontId="27" fillId="6" borderId="153" xfId="0" applyFont="1" applyFill="1" applyBorder="1" applyAlignment="1" applyProtection="1">
      <alignment horizontal="center" vertical="center"/>
      <protection hidden="1"/>
    </xf>
    <xf numFmtId="0" fontId="0" fillId="0" borderId="154" xfId="0" applyBorder="1" applyAlignment="1">
      <alignment horizontal="center" vertical="center"/>
    </xf>
    <xf numFmtId="44" fontId="14" fillId="14" borderId="105" xfId="2" applyFont="1" applyFill="1" applyBorder="1" applyAlignment="1" applyProtection="1">
      <protection hidden="1"/>
    </xf>
    <xf numFmtId="44" fontId="6" fillId="14" borderId="106" xfId="2" applyFont="1" applyFill="1" applyBorder="1" applyAlignment="1"/>
    <xf numFmtId="44" fontId="46" fillId="14" borderId="105" xfId="2" applyFont="1" applyFill="1" applyBorder="1" applyAlignment="1" applyProtection="1">
      <alignment horizontal="right"/>
      <protection hidden="1"/>
    </xf>
    <xf numFmtId="44" fontId="12" fillId="14" borderId="106" xfId="2" applyFont="1" applyFill="1" applyBorder="1" applyAlignment="1" applyProtection="1">
      <alignment horizontal="right"/>
      <protection hidden="1"/>
    </xf>
    <xf numFmtId="0" fontId="0" fillId="57" borderId="61" xfId="0" applyFill="1" applyBorder="1"/>
    <xf numFmtId="0" fontId="0" fillId="0" borderId="61" xfId="0" applyBorder="1"/>
    <xf numFmtId="0" fontId="2" fillId="57" borderId="0" xfId="0" applyFont="1" applyFill="1" applyAlignment="1">
      <alignment horizontal="right" vertical="center" textRotation="90"/>
    </xf>
    <xf numFmtId="44" fontId="14" fillId="58" borderId="143" xfId="2" applyFont="1" applyFill="1" applyBorder="1" applyAlignment="1" applyProtection="1">
      <protection hidden="1"/>
    </xf>
    <xf numFmtId="0" fontId="0" fillId="0" borderId="144" xfId="0" applyBorder="1"/>
    <xf numFmtId="10" fontId="14" fillId="58" borderId="143" xfId="3" applyNumberFormat="1" applyFont="1" applyFill="1" applyBorder="1" applyAlignment="1" applyProtection="1">
      <protection hidden="1"/>
    </xf>
    <xf numFmtId="4" fontId="14" fillId="58" borderId="8" xfId="2" applyNumberFormat="1" applyFont="1" applyFill="1" applyBorder="1" applyAlignment="1" applyProtection="1">
      <protection hidden="1"/>
    </xf>
    <xf numFmtId="0" fontId="0" fillId="0" borderId="80" xfId="0" applyBorder="1"/>
    <xf numFmtId="44" fontId="14" fillId="58" borderId="145" xfId="2" applyFont="1" applyFill="1" applyBorder="1" applyAlignment="1" applyProtection="1">
      <protection hidden="1"/>
    </xf>
    <xf numFmtId="0" fontId="0" fillId="0" borderId="146" xfId="0" applyBorder="1"/>
    <xf numFmtId="0" fontId="0" fillId="58" borderId="80" xfId="0" applyFill="1" applyBorder="1"/>
    <xf numFmtId="0" fontId="49" fillId="0" borderId="0" xfId="0" applyFont="1"/>
    <xf numFmtId="0" fontId="81" fillId="0" borderId="0" xfId="0" applyFont="1"/>
    <xf numFmtId="0" fontId="4" fillId="8" borderId="11" xfId="0" applyFont="1" applyFill="1" applyBorder="1" applyAlignment="1">
      <alignment horizontal="center" wrapText="1"/>
    </xf>
    <xf numFmtId="0" fontId="10" fillId="8" borderId="3" xfId="0" applyFont="1" applyFill="1" applyBorder="1" applyAlignment="1">
      <alignment horizontal="center" wrapText="1"/>
    </xf>
    <xf numFmtId="0" fontId="10" fillId="8" borderId="4" xfId="0" applyFont="1" applyFill="1" applyBorder="1" applyAlignment="1">
      <alignment horizontal="center" wrapText="1"/>
    </xf>
    <xf numFmtId="0" fontId="10" fillId="8" borderId="5" xfId="0" applyFont="1" applyFill="1" applyBorder="1" applyAlignment="1">
      <alignment horizontal="center" wrapText="1"/>
    </xf>
    <xf numFmtId="44" fontId="49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6" fillId="6" borderId="0" xfId="0" applyFont="1" applyFill="1" applyProtection="1">
      <protection hidden="1"/>
    </xf>
    <xf numFmtId="165" fontId="6" fillId="57" borderId="0" xfId="0" applyNumberFormat="1" applyFont="1" applyFill="1" applyAlignment="1" applyProtection="1">
      <alignment horizontal="center"/>
      <protection hidden="1"/>
    </xf>
    <xf numFmtId="0" fontId="6" fillId="57" borderId="0" xfId="0" applyFont="1" applyFill="1" applyAlignment="1" applyProtection="1">
      <alignment horizontal="center"/>
      <protection hidden="1"/>
    </xf>
    <xf numFmtId="0" fontId="2" fillId="2" borderId="11" xfId="0" applyFont="1" applyFill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2" fillId="9" borderId="11" xfId="0" applyFont="1" applyFill="1" applyBorder="1" applyAlignment="1">
      <alignment horizontal="center" vertical="top" wrapText="1"/>
    </xf>
    <xf numFmtId="0" fontId="0" fillId="9" borderId="3" xfId="0" applyFill="1" applyBorder="1" applyAlignment="1">
      <alignment horizontal="center" vertical="top" wrapText="1"/>
    </xf>
    <xf numFmtId="0" fontId="2" fillId="9" borderId="4" xfId="0" applyFont="1" applyFill="1" applyBorder="1" applyAlignment="1">
      <alignment horizontal="center" vertical="top" wrapText="1"/>
    </xf>
    <xf numFmtId="0" fontId="0" fillId="9" borderId="5" xfId="0" applyFill="1" applyBorder="1" applyAlignment="1">
      <alignment horizontal="center" vertical="top" wrapText="1"/>
    </xf>
    <xf numFmtId="44" fontId="14" fillId="58" borderId="0" xfId="2" applyFont="1" applyFill="1" applyBorder="1" applyAlignment="1" applyProtection="1">
      <protection hidden="1"/>
    </xf>
    <xf numFmtId="0" fontId="0" fillId="58" borderId="0" xfId="0" applyFill="1"/>
    <xf numFmtId="0" fontId="0" fillId="57" borderId="61" xfId="0" applyFill="1" applyBorder="1" applyAlignment="1">
      <alignment horizontal="center" vertical="center"/>
    </xf>
    <xf numFmtId="0" fontId="20" fillId="6" borderId="19" xfId="11" applyFont="1" applyFill="1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0" fontId="18" fillId="48" borderId="12" xfId="1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8" fillId="47" borderId="29" xfId="11" applyFont="1" applyFill="1" applyBorder="1" applyAlignment="1" applyProtection="1">
      <alignment horizontal="center" wrapText="1"/>
      <protection hidden="1"/>
    </xf>
    <xf numFmtId="0" fontId="0" fillId="0" borderId="32" xfId="0" applyBorder="1" applyAlignment="1">
      <alignment horizontal="center" wrapText="1"/>
    </xf>
    <xf numFmtId="0" fontId="0" fillId="0" borderId="0" xfId="0" applyAlignment="1">
      <alignment horizontal="center" vertical="center" wrapText="1"/>
    </xf>
  </cellXfs>
  <cellStyles count="58">
    <cellStyle name="20% - Accent1" xfId="32" builtinId="30" customBuiltin="1"/>
    <cellStyle name="20% - Accent2" xfId="36" builtinId="34" customBuiltin="1"/>
    <cellStyle name="20% - Accent3" xfId="40" builtinId="38" customBuiltin="1"/>
    <cellStyle name="20% - Accent4" xfId="44" builtinId="42" customBuiltin="1"/>
    <cellStyle name="20% - Accent5" xfId="48" builtinId="46" customBuiltin="1"/>
    <cellStyle name="20% - Accent6" xfId="52" builtinId="50" customBuiltin="1"/>
    <cellStyle name="40% - Accent1" xfId="33" builtinId="31" customBuiltin="1"/>
    <cellStyle name="40% - Accent2" xfId="37" builtinId="35" customBuiltin="1"/>
    <cellStyle name="40% - Accent3" xfId="41" builtinId="39" customBuiltin="1"/>
    <cellStyle name="40% - Accent4" xfId="45" builtinId="43" customBuiltin="1"/>
    <cellStyle name="40% - Accent5" xfId="49" builtinId="47" customBuiltin="1"/>
    <cellStyle name="40% - Accent6" xfId="53" builtinId="51" customBuiltin="1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0" builtinId="27" customBuiltin="1"/>
    <cellStyle name="Calculation" xfId="24" builtinId="22" customBuiltin="1"/>
    <cellStyle name="Check Cell" xfId="26" builtinId="23" customBuiltin="1"/>
    <cellStyle name="Comma" xfId="1" builtinId="3"/>
    <cellStyle name="Comma 2" xfId="12" xr:uid="{00000000-0005-0000-0000-00001C000000}"/>
    <cellStyle name="Comma 3" xfId="5" xr:uid="{00000000-0005-0000-0000-00001D000000}"/>
    <cellStyle name="Comma 4" xfId="56" xr:uid="{00000000-0005-0000-0000-00001E000000}"/>
    <cellStyle name="Currency" xfId="2" builtinId="4"/>
    <cellStyle name="Currency 2" xfId="10" xr:uid="{00000000-0005-0000-0000-000021000000}"/>
    <cellStyle name="Currency 3" xfId="9" xr:uid="{00000000-0005-0000-0000-000022000000}"/>
    <cellStyle name="Currency 4" xfId="13" xr:uid="{00000000-0005-0000-0000-000023000000}"/>
    <cellStyle name="Currency 5" xfId="6" xr:uid="{00000000-0005-0000-0000-000024000000}"/>
    <cellStyle name="Currency 6" xfId="57" xr:uid="{00000000-0005-0000-0000-000025000000}"/>
    <cellStyle name="Explanatory Text" xfId="29" builtinId="53" customBuiltin="1"/>
    <cellStyle name="Good" xfId="19" builtinId="26" customBuiltin="1"/>
    <cellStyle name="Heading 1" xfId="15" builtinId="16" customBuiltin="1"/>
    <cellStyle name="Heading 2" xfId="16" builtinId="17" customBuiltin="1"/>
    <cellStyle name="Heading 3" xfId="17" builtinId="18" customBuiltin="1"/>
    <cellStyle name="Heading 4" xfId="18" builtinId="19" customBuiltin="1"/>
    <cellStyle name="Input" xfId="22" builtinId="20" customBuiltin="1"/>
    <cellStyle name="Linked Cell" xfId="25" builtinId="24" customBuiltin="1"/>
    <cellStyle name="Neutral" xfId="21" builtinId="28" customBuiltin="1"/>
    <cellStyle name="Normal" xfId="0" builtinId="0"/>
    <cellStyle name="Normal 2" xfId="7" xr:uid="{00000000-0005-0000-0000-000030000000}"/>
    <cellStyle name="Normal 3" xfId="8" xr:uid="{00000000-0005-0000-0000-000031000000}"/>
    <cellStyle name="Normal 4" xfId="11" xr:uid="{00000000-0005-0000-0000-000032000000}"/>
    <cellStyle name="Normal 5" xfId="14" xr:uid="{00000000-0005-0000-0000-000033000000}"/>
    <cellStyle name="Normal 6" xfId="4" xr:uid="{00000000-0005-0000-0000-000034000000}"/>
    <cellStyle name="Note" xfId="28" builtinId="10" customBuiltin="1"/>
    <cellStyle name="Output" xfId="23" builtinId="21" customBuiltin="1"/>
    <cellStyle name="Percent" xfId="3" builtinId="5"/>
    <cellStyle name="Title 2" xfId="55" xr:uid="{00000000-0005-0000-0000-000039000000}"/>
    <cellStyle name="Total" xfId="30" builtinId="25" customBuiltin="1"/>
    <cellStyle name="Warning Text" xfId="27" builtinId="11" customBuiltin="1"/>
  </cellStyles>
  <dxfs count="0"/>
  <tableStyles count="0" defaultTableStyle="TableStyleMedium2" defaultPivotStyle="PivotStyleLight16"/>
  <colors>
    <mruColors>
      <color rgb="FF15791A"/>
      <color rgb="FFFBFBFB"/>
      <color rgb="FFFFFFFF"/>
      <color rgb="FFFFFF99"/>
      <color rgb="FF0E4E11"/>
      <color rgb="FF2D507B"/>
      <color rgb="FF2C4E78"/>
      <color rgb="FFF2F2F2"/>
      <color rgb="FFEDF7F9"/>
      <color rgb="FFDDE7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7" Type="http://schemas.openxmlformats.org/officeDocument/2006/relationships/image" Target="../media/image19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6" Type="http://schemas.openxmlformats.org/officeDocument/2006/relationships/image" Target="../media/image18.jpg"/><Relationship Id="rId5" Type="http://schemas.openxmlformats.org/officeDocument/2006/relationships/image" Target="../media/image17.jpg"/><Relationship Id="rId4" Type="http://schemas.openxmlformats.org/officeDocument/2006/relationships/image" Target="../media/image16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16.jpg"/><Relationship Id="rId1" Type="http://schemas.openxmlformats.org/officeDocument/2006/relationships/image" Target="../media/image20.jpg"/><Relationship Id="rId6" Type="http://schemas.openxmlformats.org/officeDocument/2006/relationships/image" Target="../media/image19.jpg"/><Relationship Id="rId5" Type="http://schemas.openxmlformats.org/officeDocument/2006/relationships/image" Target="../media/image23.jpg"/><Relationship Id="rId4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15</xdr:col>
      <xdr:colOff>46781</xdr:colOff>
      <xdr:row>21</xdr:row>
      <xdr:rowOff>132833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DEA19-3365-7823-FE21-98C987CA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6752381" cy="41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66677</xdr:colOff>
      <xdr:row>4</xdr:row>
      <xdr:rowOff>95252</xdr:rowOff>
    </xdr:from>
    <xdr:to>
      <xdr:col>12</xdr:col>
      <xdr:colOff>789852</xdr:colOff>
      <xdr:row>7</xdr:row>
      <xdr:rowOff>132627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92052" y="952502"/>
          <a:ext cx="723175" cy="72317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47625</xdr:colOff>
          <xdr:row>0</xdr:row>
          <xdr:rowOff>66675</xdr:rowOff>
        </xdr:from>
        <xdr:to>
          <xdr:col>2</xdr:col>
          <xdr:colOff>171450</xdr:colOff>
          <xdr:row>3</xdr:row>
          <xdr:rowOff>57150</xdr:rowOff>
        </xdr:to>
        <xdr:sp macro="" textlink="">
          <xdr:nvSpPr>
            <xdr:cNvPr id="2168" name="imgBValueLogo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6</xdr:row>
          <xdr:rowOff>47625</xdr:rowOff>
        </xdr:from>
        <xdr:to>
          <xdr:col>10</xdr:col>
          <xdr:colOff>733425</xdr:colOff>
          <xdr:row>7</xdr:row>
          <xdr:rowOff>38100</xdr:rowOff>
        </xdr:to>
        <xdr:sp macro="" textlink="">
          <xdr:nvSpPr>
            <xdr:cNvPr id="2173" name="optionIBOYes" descr="Choose this option if you want to enter purchses in 'Acres'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6</xdr:row>
          <xdr:rowOff>47625</xdr:rowOff>
        </xdr:from>
        <xdr:to>
          <xdr:col>11</xdr:col>
          <xdr:colOff>523875</xdr:colOff>
          <xdr:row>7</xdr:row>
          <xdr:rowOff>38100</xdr:rowOff>
        </xdr:to>
        <xdr:sp macro="" textlink="">
          <xdr:nvSpPr>
            <xdr:cNvPr id="2174" name="optionIBONo" descr="Choose this option if you want to enter purchses in 'Acres'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7</xdr:row>
          <xdr:rowOff>85725</xdr:rowOff>
        </xdr:from>
        <xdr:to>
          <xdr:col>10</xdr:col>
          <xdr:colOff>733425</xdr:colOff>
          <xdr:row>8</xdr:row>
          <xdr:rowOff>123825</xdr:rowOff>
        </xdr:to>
        <xdr:sp macro="" textlink="">
          <xdr:nvSpPr>
            <xdr:cNvPr id="2176" name="optYesFieldView" descr="Choose this option if you want to enter purchses in 'Acres'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7</xdr:row>
          <xdr:rowOff>85725</xdr:rowOff>
        </xdr:from>
        <xdr:to>
          <xdr:col>11</xdr:col>
          <xdr:colOff>523875</xdr:colOff>
          <xdr:row>8</xdr:row>
          <xdr:rowOff>123825</xdr:rowOff>
        </xdr:to>
        <xdr:sp macro="" textlink="">
          <xdr:nvSpPr>
            <xdr:cNvPr id="2177" name="optNoFieldView" descr="Choose this option if you want to enter purchses in 'Acres'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304801</xdr:colOff>
      <xdr:row>1</xdr:row>
      <xdr:rowOff>76201</xdr:rowOff>
    </xdr:from>
    <xdr:to>
      <xdr:col>17</xdr:col>
      <xdr:colOff>326823</xdr:colOff>
      <xdr:row>3</xdr:row>
      <xdr:rowOff>50598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7926" y="200026"/>
          <a:ext cx="612572" cy="6125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43261</xdr:colOff>
      <xdr:row>1</xdr:row>
      <xdr:rowOff>76200</xdr:rowOff>
    </xdr:from>
    <xdr:to>
      <xdr:col>2</xdr:col>
      <xdr:colOff>657225</xdr:colOff>
      <xdr:row>2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4711" y="200025"/>
          <a:ext cx="1966514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154123</xdr:colOff>
      <xdr:row>30</xdr:row>
      <xdr:rowOff>134166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AC379-88BA-0102-DF86-41EB9C8F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46123" cy="5849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20</xdr:col>
      <xdr:colOff>163649</xdr:colOff>
      <xdr:row>59</xdr:row>
      <xdr:rowOff>134113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2A5280-7F96-470E-1FE5-72EC2D7CB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12355649" cy="5468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17</xdr:col>
      <xdr:colOff>230078</xdr:colOff>
      <xdr:row>68</xdr:row>
      <xdr:rowOff>114529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244E1B-AF8B-8903-00E2-49CBE3D9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30000"/>
          <a:ext cx="10593278" cy="16385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571500</xdr:colOff>
      <xdr:row>0</xdr:row>
      <xdr:rowOff>19050</xdr:rowOff>
    </xdr:from>
    <xdr:to>
      <xdr:col>18</xdr:col>
      <xdr:colOff>513398</xdr:colOff>
      <xdr:row>26</xdr:row>
      <xdr:rowOff>98108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AA7F24-1AB6-D7CF-7E55-355CC9967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9050"/>
          <a:ext cx="9695498" cy="5032058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26</xdr:row>
      <xdr:rowOff>76197</xdr:rowOff>
    </xdr:from>
    <xdr:to>
      <xdr:col>18</xdr:col>
      <xdr:colOff>515303</xdr:colOff>
      <xdr:row>39</xdr:row>
      <xdr:rowOff>25715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106413-AF86-A138-B7B5-CF772EA6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5029197"/>
          <a:ext cx="9678353" cy="2426018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39</xdr:row>
      <xdr:rowOff>180975</xdr:rowOff>
    </xdr:from>
    <xdr:to>
      <xdr:col>10</xdr:col>
      <xdr:colOff>142875</xdr:colOff>
      <xdr:row>70</xdr:row>
      <xdr:rowOff>57150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3353AF-9596-7560-E337-E8AAE00FD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7610475"/>
          <a:ext cx="4419600" cy="578167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40</xdr:row>
      <xdr:rowOff>19050</xdr:rowOff>
    </xdr:from>
    <xdr:to>
      <xdr:col>18</xdr:col>
      <xdr:colOff>200025</xdr:colOff>
      <xdr:row>56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77DCFB2-A809-615D-9EBE-D37969F01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7639050"/>
          <a:ext cx="4448175" cy="30575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561969</xdr:colOff>
      <xdr:row>70</xdr:row>
      <xdr:rowOff>123825</xdr:rowOff>
    </xdr:from>
    <xdr:to>
      <xdr:col>17</xdr:col>
      <xdr:colOff>367659</xdr:colOff>
      <xdr:row>96</xdr:row>
      <xdr:rowOff>40005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16BFC9C-950B-1947-861A-F33F7F9B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69" y="13458825"/>
          <a:ext cx="8949690" cy="486918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571498</xdr:colOff>
      <xdr:row>96</xdr:row>
      <xdr:rowOff>76198</xdr:rowOff>
    </xdr:from>
    <xdr:to>
      <xdr:col>17</xdr:col>
      <xdr:colOff>325753</xdr:colOff>
      <xdr:row>115</xdr:row>
      <xdr:rowOff>65721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2312AAC-83E2-8870-B9F8-BC8444FB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98" y="18364198"/>
          <a:ext cx="8898255" cy="3609023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581020</xdr:colOff>
      <xdr:row>115</xdr:row>
      <xdr:rowOff>133347</xdr:rowOff>
    </xdr:from>
    <xdr:to>
      <xdr:col>17</xdr:col>
      <xdr:colOff>318130</xdr:colOff>
      <xdr:row>127</xdr:row>
      <xdr:rowOff>59052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04682F2-FDE4-3E1A-8BB8-3E2F3ED6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0" y="22040847"/>
          <a:ext cx="8881110" cy="22117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133340</xdr:colOff>
      <xdr:row>0</xdr:row>
      <xdr:rowOff>38100</xdr:rowOff>
    </xdr:from>
    <xdr:to>
      <xdr:col>18</xdr:col>
      <xdr:colOff>426710</xdr:colOff>
      <xdr:row>40</xdr:row>
      <xdr:rowOff>141923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1B8162-B38C-F3B5-6C73-FAED82D0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0" y="38100"/>
          <a:ext cx="10046970" cy="7723823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41</xdr:row>
      <xdr:rowOff>9525</xdr:rowOff>
    </xdr:from>
    <xdr:to>
      <xdr:col>17</xdr:col>
      <xdr:colOff>419100</xdr:colOff>
      <xdr:row>57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002D0F-8BA0-D12C-1C76-A7DCFC64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7820025"/>
          <a:ext cx="4448175" cy="30575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41</xdr:row>
      <xdr:rowOff>0</xdr:rowOff>
    </xdr:from>
    <xdr:to>
      <xdr:col>9</xdr:col>
      <xdr:colOff>304800</xdr:colOff>
      <xdr:row>71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7A5F67-EA55-C81C-C433-B9E2FBE3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7810500"/>
          <a:ext cx="4429125" cy="57435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71</xdr:row>
      <xdr:rowOff>190498</xdr:rowOff>
    </xdr:from>
    <xdr:to>
      <xdr:col>16</xdr:col>
      <xdr:colOff>363853</xdr:colOff>
      <xdr:row>94</xdr:row>
      <xdr:rowOff>112393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9A0E9C1-A0B6-ADAD-4C27-C7E7DFB6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8" y="13715998"/>
          <a:ext cx="8898255" cy="430339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600074</xdr:colOff>
      <xdr:row>94</xdr:row>
      <xdr:rowOff>114298</xdr:rowOff>
    </xdr:from>
    <xdr:to>
      <xdr:col>16</xdr:col>
      <xdr:colOff>345757</xdr:colOff>
      <xdr:row>118</xdr:row>
      <xdr:rowOff>17143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DFAC81-DA68-E105-2154-6B808A5B5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4" y="18021298"/>
          <a:ext cx="8889683" cy="447484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609595</xdr:colOff>
      <xdr:row>118</xdr:row>
      <xdr:rowOff>19047</xdr:rowOff>
    </xdr:from>
    <xdr:to>
      <xdr:col>16</xdr:col>
      <xdr:colOff>346705</xdr:colOff>
      <xdr:row>129</xdr:row>
      <xdr:rowOff>135252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360162A-4DE3-CE75-8D6B-90E3193E9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5" y="22498047"/>
          <a:ext cx="8881110" cy="2211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BDF47-31DC-4A96-B4D0-69026BF2A7B5}">
  <sheetPr codeName="Sheet1">
    <tabColor rgb="FF00B050"/>
  </sheetPr>
  <dimension ref="A1:U25"/>
  <sheetViews>
    <sheetView showGridLines="0" showRowColHeaders="0" workbookViewId="0">
      <selection activeCell="I24" sqref="I24"/>
    </sheetView>
  </sheetViews>
  <sheetFormatPr defaultRowHeight="15" x14ac:dyDescent="0.25"/>
  <sheetData>
    <row r="1" spans="1:21" x14ac:dyDescent="0.25">
      <c r="A1" s="707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</row>
    <row r="2" spans="1:21" x14ac:dyDescent="0.25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</row>
    <row r="3" spans="1:21" x14ac:dyDescent="0.25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</row>
    <row r="4" spans="1:21" x14ac:dyDescent="0.25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</row>
    <row r="5" spans="1:21" x14ac:dyDescent="0.25">
      <c r="A5" s="707"/>
      <c r="B5" s="707"/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</row>
    <row r="6" spans="1:21" x14ac:dyDescent="0.25">
      <c r="A6" s="707"/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</row>
    <row r="7" spans="1:21" x14ac:dyDescent="0.25">
      <c r="A7" s="707"/>
      <c r="B7" s="707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</row>
    <row r="8" spans="1:21" x14ac:dyDescent="0.25">
      <c r="A8" s="707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</row>
    <row r="9" spans="1:21" x14ac:dyDescent="0.25">
      <c r="A9" s="707"/>
      <c r="B9" s="707"/>
      <c r="C9" s="707"/>
      <c r="D9" s="707"/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</row>
    <row r="10" spans="1:21" x14ac:dyDescent="0.25">
      <c r="A10" s="707"/>
      <c r="B10" s="707"/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</row>
    <row r="11" spans="1:21" x14ac:dyDescent="0.25">
      <c r="A11" s="707"/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</row>
    <row r="12" spans="1:21" x14ac:dyDescent="0.25">
      <c r="A12" s="707"/>
      <c r="B12" s="707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</row>
    <row r="13" spans="1:21" x14ac:dyDescent="0.25">
      <c r="A13" s="707"/>
      <c r="B13" s="707"/>
      <c r="C13" s="707"/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</row>
    <row r="14" spans="1:21" x14ac:dyDescent="0.25">
      <c r="A14" s="707"/>
      <c r="B14" s="707"/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</row>
    <row r="15" spans="1:21" x14ac:dyDescent="0.25">
      <c r="A15" s="707"/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</row>
    <row r="16" spans="1:21" x14ac:dyDescent="0.25">
      <c r="A16" s="707"/>
      <c r="B16" s="707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</row>
    <row r="17" spans="1:21" x14ac:dyDescent="0.25">
      <c r="A17" s="707"/>
      <c r="B17" s="707"/>
      <c r="C17" s="707"/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</row>
    <row r="18" spans="1:21" x14ac:dyDescent="0.25">
      <c r="A18" s="707"/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</row>
    <row r="19" spans="1:21" x14ac:dyDescent="0.25">
      <c r="A19" s="707"/>
      <c r="B19" s="707"/>
      <c r="C19" s="707"/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</row>
    <row r="20" spans="1:21" x14ac:dyDescent="0.25">
      <c r="A20" s="707"/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</row>
    <row r="21" spans="1:21" x14ac:dyDescent="0.25">
      <c r="A21" s="707"/>
      <c r="B21" s="707"/>
      <c r="C21" s="707"/>
      <c r="D21" s="707"/>
      <c r="E21" s="707"/>
      <c r="F21" s="707"/>
      <c r="G21" s="707"/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</row>
    <row r="22" spans="1:21" x14ac:dyDescent="0.25">
      <c r="A22" s="707"/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</row>
    <row r="23" spans="1:21" x14ac:dyDescent="0.25">
      <c r="A23" s="707"/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</row>
    <row r="24" spans="1:21" x14ac:dyDescent="0.25">
      <c r="A24" s="707"/>
      <c r="B24" s="707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</row>
    <row r="25" spans="1:21" x14ac:dyDescent="0.25">
      <c r="A25" s="707"/>
      <c r="B25" s="707"/>
      <c r="C25" s="707"/>
      <c r="D25" s="707"/>
      <c r="E25" s="707"/>
      <c r="F25" s="707"/>
      <c r="G25" s="707"/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</row>
  </sheetData>
  <sheetProtection algorithmName="SHA-512" hashValue="Oiv0JmgVsu282va7Dhllyom1jnc7Q6Y/bOICLqpfnUroCxThVWPz/2jFi04fnjj30CpSgMA4aTtz3NGgC4F5ZA==" saltValue="jwmFzd0s5vZdGnvLU9LHbQ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3CFE"/>
  </sheetPr>
  <dimension ref="A1:AF161"/>
  <sheetViews>
    <sheetView showGridLines="0" showRowColHeaders="0" tabSelected="1" zoomScaleNormal="100" workbookViewId="0">
      <pane ySplit="4" topLeftCell="A5" activePane="bottomLeft" state="frozen"/>
      <selection pane="bottomLeft" activeCell="C6" sqref="C6:F6"/>
    </sheetView>
  </sheetViews>
  <sheetFormatPr defaultColWidth="9.140625" defaultRowHeight="15" x14ac:dyDescent="0.25"/>
  <cols>
    <col min="1" max="1" width="3.28515625" style="26" customWidth="1"/>
    <col min="2" max="2" width="33.85546875" style="26" customWidth="1"/>
    <col min="3" max="3" width="10.140625" style="26" customWidth="1"/>
    <col min="4" max="4" width="12" style="26" bestFit="1" customWidth="1"/>
    <col min="5" max="5" width="13.85546875" style="26" customWidth="1"/>
    <col min="6" max="6" width="33.85546875" style="26" customWidth="1"/>
    <col min="7" max="7" width="10.140625" style="26" customWidth="1"/>
    <col min="8" max="8" width="12" style="26" customWidth="1"/>
    <col min="9" max="9" width="16.42578125" style="26" customWidth="1"/>
    <col min="10" max="10" width="14.7109375" style="26" customWidth="1"/>
    <col min="11" max="11" width="14.28515625" style="26" bestFit="1" customWidth="1"/>
    <col min="12" max="12" width="13.28515625" style="26" customWidth="1"/>
    <col min="13" max="13" width="15.5703125" style="26" customWidth="1"/>
    <col min="14" max="14" width="7.85546875" style="26" customWidth="1"/>
    <col min="15" max="15" width="3.28515625" style="26" customWidth="1"/>
    <col min="16" max="16" width="8.7109375" style="26" customWidth="1"/>
    <col min="17" max="20" width="11.5703125" style="26" hidden="1" customWidth="1"/>
    <col min="21" max="21" width="18.140625" style="26" hidden="1" customWidth="1"/>
    <col min="22" max="32" width="9.140625" style="26" hidden="1" customWidth="1"/>
    <col min="33" max="16384" width="9.140625" style="26"/>
  </cols>
  <sheetData>
    <row r="1" spans="1:25" ht="7.5" customHeight="1" x14ac:dyDescent="0.25"/>
    <row r="2" spans="1:25" ht="24" customHeight="1" x14ac:dyDescent="0.4">
      <c r="D2" s="787" t="str">
        <f>+Q5 &amp; " " &amp;S5</f>
        <v>2025 BayerValue™ Rebate Calculator</v>
      </c>
      <c r="E2" s="788"/>
      <c r="F2" s="788"/>
      <c r="H2" s="179"/>
      <c r="K2" s="180"/>
      <c r="M2" s="793"/>
      <c r="N2" s="794"/>
      <c r="U2" s="192" t="str">
        <f>+Q5 &amp; " "  &amp;S5</f>
        <v>2025 BayerValue™ Rebate Calculator</v>
      </c>
      <c r="V2" s="181"/>
      <c r="W2" s="181"/>
      <c r="X2" s="181"/>
      <c r="Y2" s="181"/>
    </row>
    <row r="3" spans="1:25" x14ac:dyDescent="0.25">
      <c r="D3" s="789" t="s">
        <v>415</v>
      </c>
      <c r="E3" s="789"/>
      <c r="F3" s="789"/>
      <c r="M3" s="795"/>
      <c r="N3" s="795"/>
    </row>
    <row r="4" spans="1:25" ht="21" customHeight="1" x14ac:dyDescent="0.3">
      <c r="B4" s="182"/>
      <c r="D4" s="789"/>
      <c r="E4" s="789"/>
      <c r="F4" s="789"/>
      <c r="G4" s="292"/>
      <c r="H4" s="796"/>
      <c r="I4" s="797"/>
      <c r="J4" s="328"/>
      <c r="K4" s="291"/>
      <c r="M4" s="183"/>
      <c r="N4" s="183"/>
    </row>
    <row r="5" spans="1:25" ht="7.5" customHeight="1" x14ac:dyDescent="0.35">
      <c r="A5" s="419"/>
      <c r="B5" s="419"/>
      <c r="C5" s="419"/>
      <c r="D5" s="419"/>
      <c r="E5" s="419"/>
      <c r="F5" s="419"/>
      <c r="G5" s="798"/>
      <c r="H5" s="799"/>
      <c r="I5" s="799"/>
      <c r="J5" s="799"/>
      <c r="K5" s="419"/>
      <c r="L5" s="419"/>
      <c r="M5" s="419"/>
      <c r="N5" s="419"/>
      <c r="O5" s="419"/>
      <c r="Q5" s="289" t="s">
        <v>414</v>
      </c>
      <c r="S5" s="289" t="s">
        <v>267</v>
      </c>
      <c r="U5" s="289" t="s">
        <v>324</v>
      </c>
      <c r="V5" s="327"/>
      <c r="W5" s="185"/>
    </row>
    <row r="6" spans="1:25" ht="23.25" customHeight="1" x14ac:dyDescent="0.25">
      <c r="A6" s="419"/>
      <c r="B6" s="421" t="s">
        <v>14</v>
      </c>
      <c r="C6" s="790"/>
      <c r="D6" s="791"/>
      <c r="E6" s="791"/>
      <c r="F6" s="792"/>
      <c r="G6" s="799"/>
      <c r="H6" s="799"/>
      <c r="I6" s="799"/>
      <c r="J6" s="799"/>
      <c r="K6" s="419"/>
      <c r="L6" s="419"/>
      <c r="M6" s="419"/>
      <c r="N6" s="419"/>
      <c r="O6" s="419"/>
      <c r="Q6" s="289" t="s">
        <v>334</v>
      </c>
      <c r="R6" s="326"/>
      <c r="U6" s="341">
        <f ca="1">TODAY()</f>
        <v>45670</v>
      </c>
    </row>
    <row r="7" spans="1:25" ht="23.25" customHeight="1" x14ac:dyDescent="0.25">
      <c r="A7" s="419"/>
      <c r="B7" s="419"/>
      <c r="C7" s="682"/>
      <c r="D7" s="419"/>
      <c r="E7" s="419"/>
      <c r="F7" s="422"/>
      <c r="G7" s="798" t="s">
        <v>416</v>
      </c>
      <c r="H7" s="799"/>
      <c r="I7" s="799"/>
      <c r="J7" s="799"/>
      <c r="K7" s="419"/>
      <c r="L7" s="419"/>
      <c r="M7" s="419"/>
      <c r="N7" s="419"/>
      <c r="O7" s="419"/>
    </row>
    <row r="8" spans="1:25" ht="19.5" customHeight="1" x14ac:dyDescent="0.25">
      <c r="A8" s="419"/>
      <c r="B8" s="421" t="s">
        <v>13</v>
      </c>
      <c r="C8" s="775"/>
      <c r="D8" s="776"/>
      <c r="E8" s="423" t="s">
        <v>12</v>
      </c>
      <c r="F8" s="424"/>
      <c r="G8" s="798" t="s">
        <v>407</v>
      </c>
      <c r="H8" s="799"/>
      <c r="I8" s="799"/>
      <c r="J8" s="799"/>
      <c r="K8" s="431"/>
      <c r="L8" s="431"/>
      <c r="M8" s="419"/>
      <c r="N8" s="419"/>
      <c r="O8" s="419"/>
      <c r="U8" s="289" t="s">
        <v>413</v>
      </c>
      <c r="V8" s="326"/>
      <c r="W8" s="326"/>
    </row>
    <row r="9" spans="1:25" s="430" customFormat="1" ht="20.25" customHeight="1" x14ac:dyDescent="0.35">
      <c r="A9" s="431"/>
      <c r="B9" s="777" t="str">
        <f xml:space="preserve"> Q6 &amp;  " " &amp; "- Enter Purchases"</f>
        <v>BayerValue™ Rewards - Enter Purchases</v>
      </c>
      <c r="C9" s="778"/>
      <c r="D9" s="778"/>
      <c r="E9" s="432"/>
      <c r="F9" s="433"/>
      <c r="G9" s="425"/>
      <c r="H9" s="425"/>
      <c r="I9" s="425"/>
      <c r="J9" s="425"/>
      <c r="K9" s="425"/>
      <c r="L9" s="431"/>
      <c r="M9" s="431"/>
      <c r="N9" s="694"/>
      <c r="O9" s="431"/>
      <c r="Q9" s="434" t="b">
        <v>1</v>
      </c>
    </row>
    <row r="10" spans="1:25" ht="21" customHeight="1" x14ac:dyDescent="0.35">
      <c r="A10" s="419"/>
      <c r="B10" s="778"/>
      <c r="C10" s="778"/>
      <c r="D10" s="778"/>
      <c r="E10" s="426"/>
      <c r="F10" s="425"/>
      <c r="G10" s="425"/>
      <c r="H10" s="425"/>
      <c r="I10" s="425"/>
      <c r="J10" s="425"/>
      <c r="K10" s="425"/>
      <c r="L10" s="419"/>
      <c r="M10" s="419"/>
      <c r="N10" s="419"/>
      <c r="O10" s="419"/>
      <c r="S10" s="843" t="s">
        <v>485</v>
      </c>
      <c r="T10" s="844"/>
      <c r="U10" s="844"/>
      <c r="V10" s="844"/>
    </row>
    <row r="11" spans="1:25" ht="15.75" customHeight="1" thickBot="1" x14ac:dyDescent="0.3">
      <c r="A11" s="419"/>
      <c r="B11" s="779" t="s">
        <v>0</v>
      </c>
      <c r="C11" s="479" t="s">
        <v>8</v>
      </c>
      <c r="D11" s="781"/>
      <c r="E11" s="782"/>
      <c r="F11" s="779" t="s">
        <v>0</v>
      </c>
      <c r="G11" s="479" t="s">
        <v>8</v>
      </c>
      <c r="H11" s="781"/>
      <c r="I11" s="782"/>
      <c r="J11" s="786"/>
      <c r="K11" s="786"/>
      <c r="L11" s="786"/>
      <c r="M11" s="786"/>
      <c r="N11" s="420"/>
      <c r="O11" s="419"/>
      <c r="S11" s="844"/>
      <c r="T11" s="844"/>
      <c r="U11" s="844"/>
      <c r="V11" s="844"/>
    </row>
    <row r="12" spans="1:25" ht="32.25" customHeight="1" x14ac:dyDescent="0.25">
      <c r="A12" s="419"/>
      <c r="B12" s="780"/>
      <c r="C12" s="706" t="s">
        <v>2</v>
      </c>
      <c r="D12" s="706" t="s">
        <v>1</v>
      </c>
      <c r="E12" s="480" t="s">
        <v>418</v>
      </c>
      <c r="F12" s="780" t="s">
        <v>0</v>
      </c>
      <c r="G12" s="706" t="s">
        <v>2</v>
      </c>
      <c r="H12" s="706" t="s">
        <v>1</v>
      </c>
      <c r="I12" s="480" t="s">
        <v>418</v>
      </c>
      <c r="J12" s="848" t="s">
        <v>427</v>
      </c>
      <c r="K12" s="849"/>
      <c r="L12" s="849"/>
      <c r="M12" s="849"/>
      <c r="N12" s="849"/>
      <c r="O12" s="419"/>
      <c r="S12" s="289" t="s">
        <v>325</v>
      </c>
      <c r="T12" s="289"/>
    </row>
    <row r="13" spans="1:25" ht="15" customHeight="1" x14ac:dyDescent="0.25">
      <c r="A13" s="419"/>
      <c r="B13" s="446" t="s">
        <v>419</v>
      </c>
      <c r="C13" s="439"/>
      <c r="D13" s="817" t="s">
        <v>425</v>
      </c>
      <c r="E13" s="818"/>
      <c r="F13" s="418">
        <f>+C17</f>
        <v>0</v>
      </c>
      <c r="G13" s="416"/>
      <c r="H13" s="452"/>
      <c r="I13" s="452"/>
      <c r="J13" s="452"/>
      <c r="K13" s="452"/>
      <c r="L13" s="452"/>
      <c r="M13" s="452"/>
      <c r="N13" s="699"/>
      <c r="O13" s="419"/>
      <c r="S13" s="289" t="s">
        <v>495</v>
      </c>
      <c r="T13" s="289"/>
    </row>
    <row r="14" spans="1:25" ht="15" customHeight="1" x14ac:dyDescent="0.25">
      <c r="A14" s="419"/>
      <c r="B14" s="369" t="s">
        <v>420</v>
      </c>
      <c r="C14" s="200"/>
      <c r="D14" s="532">
        <f>+Pkge!G86</f>
        <v>0</v>
      </c>
      <c r="E14" s="564"/>
      <c r="F14" s="850" t="str">
        <f>S$13</f>
        <v>TOTAL ACRES OF DEKALB® CANOLA, CORN AND SOYBEAN SEED EARLY BOOKED</v>
      </c>
      <c r="G14" s="829" t="s">
        <v>486</v>
      </c>
      <c r="H14" s="124"/>
      <c r="I14" s="845" t="str">
        <f>IF(S$23 = TRUE, S$15, " ")</f>
        <v>Enter acres only for the two boxes to the left.</v>
      </c>
      <c r="J14" s="762" t="str">
        <f>S$16</f>
        <v>DEKALB® SUMMER SIZZLER Payable Acres</v>
      </c>
      <c r="K14" s="728"/>
      <c r="L14" s="729"/>
      <c r="M14" s="695">
        <f>IF(S$23 = TRUE, IF(H$15 &gt;=500, IF(H$16 &gt;=500, IF(S$23= TRUE, IF(H$15 &lt;=H$16, H$15,H$16),0),0),0), "")</f>
        <v>0</v>
      </c>
      <c r="N14" s="700"/>
      <c r="O14" s="419"/>
      <c r="P14" s="853"/>
      <c r="Q14" s="820"/>
      <c r="R14" s="820"/>
      <c r="S14" s="804" t="s">
        <v>494</v>
      </c>
      <c r="T14" s="724"/>
      <c r="U14" s="724"/>
      <c r="V14" s="724"/>
    </row>
    <row r="15" spans="1:25" ht="15" customHeight="1" x14ac:dyDescent="0.25">
      <c r="A15" s="419"/>
      <c r="B15" s="369" t="s">
        <v>421</v>
      </c>
      <c r="C15" s="200"/>
      <c r="D15" s="532">
        <f>+Pkge!G87</f>
        <v>0</v>
      </c>
      <c r="E15" s="462"/>
      <c r="F15" s="851" t="s">
        <v>486</v>
      </c>
      <c r="G15" s="852" t="s">
        <v>486</v>
      </c>
      <c r="H15" s="698"/>
      <c r="I15" s="846"/>
      <c r="J15" s="766" t="str">
        <f>S$17</f>
        <v>DEKALB® SUMMER SIZZLER Rebate</v>
      </c>
      <c r="K15" s="822"/>
      <c r="L15" s="823"/>
      <c r="M15" s="696">
        <f>IF( S$23 = TRUE, IF(ISNUMBER(M$14), M$14*2.5, ""), "")</f>
        <v>0</v>
      </c>
      <c r="N15" s="701"/>
      <c r="O15" s="419"/>
      <c r="P15" s="853"/>
      <c r="Q15" s="820"/>
      <c r="R15" s="820"/>
      <c r="S15" s="289" t="s">
        <v>487</v>
      </c>
      <c r="T15" s="289"/>
    </row>
    <row r="16" spans="1:25" ht="15" customHeight="1" x14ac:dyDescent="0.25">
      <c r="A16" s="419"/>
      <c r="B16" s="369" t="s">
        <v>422</v>
      </c>
      <c r="C16" s="200"/>
      <c r="D16" s="532">
        <f>+Pkge!G88</f>
        <v>0</v>
      </c>
      <c r="E16" s="692"/>
      <c r="F16" s="854" t="str">
        <f>S$14</f>
        <v>DEKALB® CANOLA SEED ACRES PURCHASED</v>
      </c>
      <c r="G16" s="855" t="s">
        <v>486</v>
      </c>
      <c r="H16" s="200"/>
      <c r="I16" s="847"/>
      <c r="N16" s="470"/>
      <c r="O16" s="419"/>
      <c r="Q16" s="697"/>
      <c r="S16" s="289" t="s">
        <v>493</v>
      </c>
      <c r="T16" s="289"/>
      <c r="V16" s="26" t="s">
        <v>492</v>
      </c>
    </row>
    <row r="17" spans="1:21" ht="17.25" x14ac:dyDescent="0.25">
      <c r="A17" s="419"/>
      <c r="B17" s="435" t="str">
        <f>UPPER(+RebateSummary!B59)</f>
        <v>TOTAL CROP TRAIT ACREAGE</v>
      </c>
      <c r="C17" s="685">
        <f>IF(Pkge!B3 = 0, SUM(Purchases!C14:C16),SUM(Purchases!D14:D16))</f>
        <v>0</v>
      </c>
      <c r="D17" s="532"/>
      <c r="E17" s="330"/>
      <c r="F17" s="693" t="str">
        <f>V$16</f>
        <v>Seed must be booked by Oct 11, 2024 to qualify for the DEKALB® SUMMER SIZZLER Rebate</v>
      </c>
      <c r="G17"/>
      <c r="H17"/>
      <c r="I17" s="443"/>
      <c r="N17" s="470"/>
      <c r="O17" s="419"/>
      <c r="S17" s="289" t="s">
        <v>496</v>
      </c>
      <c r="T17" s="289"/>
    </row>
    <row r="18" spans="1:21" ht="15" hidden="1" customHeight="1" x14ac:dyDescent="0.25">
      <c r="A18" s="419"/>
      <c r="C18" s="440"/>
      <c r="D18" s="448"/>
      <c r="E18" s="449"/>
      <c r="F18" s="444"/>
      <c r="G18" s="444"/>
      <c r="H18" s="444"/>
      <c r="I18" s="445"/>
      <c r="J18" s="819" t="s">
        <v>426</v>
      </c>
      <c r="K18" s="820"/>
      <c r="L18" s="821"/>
      <c r="M18" s="471">
        <v>654.25</v>
      </c>
      <c r="N18" s="450"/>
      <c r="O18" s="419"/>
      <c r="S18" s="289"/>
      <c r="T18" s="289"/>
    </row>
    <row r="19" spans="1:21" ht="15" customHeight="1" x14ac:dyDescent="0.25">
      <c r="A19" s="428"/>
      <c r="B19" s="446" t="s">
        <v>484</v>
      </c>
      <c r="C19" s="439"/>
      <c r="D19" s="439"/>
      <c r="E19" s="447" t="s">
        <v>347</v>
      </c>
      <c r="F19" s="442">
        <f>+M22</f>
        <v>0</v>
      </c>
      <c r="G19" s="439"/>
      <c r="H19" s="439"/>
      <c r="I19" s="439"/>
      <c r="J19" s="451"/>
      <c r="K19" s="451"/>
      <c r="L19" s="451"/>
      <c r="M19" s="452"/>
      <c r="N19" s="452"/>
      <c r="O19" s="419"/>
    </row>
    <row r="20" spans="1:21" ht="15" customHeight="1" x14ac:dyDescent="0.25">
      <c r="A20" s="428"/>
      <c r="B20" s="367" t="str">
        <f>Pkge!$B5</f>
        <v xml:space="preserve">ADMIRE® (3.785L) </v>
      </c>
      <c r="C20" s="199"/>
      <c r="D20" s="329">
        <f>+Pkge!G5</f>
        <v>0</v>
      </c>
      <c r="E20" s="330">
        <f>+Pkge!I5</f>
        <v>0</v>
      </c>
      <c r="F20" s="369" t="str">
        <f>+Pkge!$B92</f>
        <v>RAXIL®  PRO SHIELD ALL IN ONE (10 L)</v>
      </c>
      <c r="G20" s="200"/>
      <c r="H20" s="331">
        <f>+Pkge!G92</f>
        <v>0</v>
      </c>
      <c r="I20" s="334">
        <f>+Pkge!I92</f>
        <v>0</v>
      </c>
      <c r="J20" s="756"/>
      <c r="K20" s="757"/>
      <c r="L20" s="758"/>
      <c r="M20" s="754" t="s">
        <v>181</v>
      </c>
      <c r="N20" s="754" t="s">
        <v>182</v>
      </c>
      <c r="O20" s="419"/>
      <c r="Q20" s="326" t="s">
        <v>354</v>
      </c>
      <c r="R20" s="326"/>
      <c r="S20" s="288" t="b">
        <v>0</v>
      </c>
    </row>
    <row r="21" spans="1:21" ht="15" customHeight="1" x14ac:dyDescent="0.25">
      <c r="A21" s="428"/>
      <c r="B21" s="369" t="str">
        <f>+Pkge!B95</f>
        <v>EMESTO® COMPLETE (2x2.9L+0.7L+0.31L)</v>
      </c>
      <c r="C21" s="200"/>
      <c r="D21" s="329">
        <f>+Pkge!G95</f>
        <v>0</v>
      </c>
      <c r="E21" s="330">
        <f>+Pkge!I95</f>
        <v>0</v>
      </c>
      <c r="F21" s="369" t="str">
        <f>+Pkge!$B91</f>
        <v>RAXIL®  PRO SHIELD ALL IN ONE (125 L)</v>
      </c>
      <c r="G21" s="200"/>
      <c r="H21" s="331">
        <f>+Pkge!G91</f>
        <v>0</v>
      </c>
      <c r="I21" s="334">
        <f>+Pkge!I91</f>
        <v>0</v>
      </c>
      <c r="J21" s="759"/>
      <c r="K21" s="760"/>
      <c r="L21" s="761"/>
      <c r="M21" s="755"/>
      <c r="N21" s="755"/>
      <c r="O21" s="419"/>
      <c r="Q21" s="326" t="s">
        <v>367</v>
      </c>
      <c r="R21" s="326"/>
      <c r="S21" s="340" t="b">
        <v>0</v>
      </c>
      <c r="U21" s="26" t="s">
        <v>458</v>
      </c>
    </row>
    <row r="22" spans="1:21" ht="15" customHeight="1" x14ac:dyDescent="0.25">
      <c r="A22" s="770" t="s">
        <v>180</v>
      </c>
      <c r="B22" s="369" t="str">
        <f>+Pkge!B14</f>
        <v>EMESTO® SILVER (3.85L)</v>
      </c>
      <c r="C22" s="200"/>
      <c r="D22" s="329">
        <f>+Pkge!G14</f>
        <v>0</v>
      </c>
      <c r="E22" s="330">
        <f>+Pkge!I14</f>
        <v>0</v>
      </c>
      <c r="F22" s="369" t="str">
        <f>+Pkge!$B65</f>
        <v>SIVANTO®  PRIME (2 L)</v>
      </c>
      <c r="G22" s="200"/>
      <c r="H22" s="331">
        <f>+Pkge!G65</f>
        <v>0</v>
      </c>
      <c r="I22" s="334">
        <f>+Pkge!I65</f>
        <v>0</v>
      </c>
      <c r="J22" s="763" t="s">
        <v>268</v>
      </c>
      <c r="K22" s="764"/>
      <c r="L22" s="765"/>
      <c r="M22" s="662">
        <f>+IF(Pkge!$B$3=0,(+C$21+C$22+C$23+C$25+C$26+C$27+C$28+(C$29*2)+(G$20*2)+(G$21*2)+G$23+G$24+G$25+(G$26*2)),(+D$21+D$22+D$23+D$25+D$26+D$27+D$28+(D$29*2)+(H$20*2)+(H$21*2)+H$23+H$24+H$25+(H$26*2)))</f>
        <v>0</v>
      </c>
      <c r="N22" s="663">
        <f xml:space="preserve"> IF( M22 &gt;= 300, IF(Purchases!$M$25 = 3, 10, IF(Purchases!$M$25=2, 5,0)), 0)</f>
        <v>0</v>
      </c>
      <c r="O22" s="419"/>
      <c r="Q22" s="326" t="s">
        <v>480</v>
      </c>
      <c r="R22" s="326"/>
      <c r="S22" s="326"/>
      <c r="T22" s="340">
        <v>500</v>
      </c>
    </row>
    <row r="23" spans="1:21" ht="15" customHeight="1" x14ac:dyDescent="0.25">
      <c r="A23" s="770"/>
      <c r="B23" s="369" t="str">
        <f>+Pkge!B15</f>
        <v>EVERGOL® ENERGY (33.75L)</v>
      </c>
      <c r="C23" s="200"/>
      <c r="D23" s="329">
        <f>+Pkge!G15</f>
        <v>0</v>
      </c>
      <c r="E23" s="330">
        <f>+Pkge!I15</f>
        <v>0</v>
      </c>
      <c r="F23" s="369" t="str">
        <f>+Pkge!$B64</f>
        <v xml:space="preserve">STRESS SHIELD® (27L) </v>
      </c>
      <c r="G23" s="200"/>
      <c r="H23" s="331">
        <f>+Pkge!G64</f>
        <v>0</v>
      </c>
      <c r="I23" s="334">
        <f>+Pkge!I64</f>
        <v>0</v>
      </c>
      <c r="J23" s="766" t="s">
        <v>269</v>
      </c>
      <c r="K23" s="733"/>
      <c r="L23" s="767"/>
      <c r="M23" s="664">
        <f>+IF(Pkge!$B$3=0,(C31+C32+C33+C34+C35+C36+C37+C38+C39+C40+C41+C42+C43+C44+C45+C46+C47+C48+C49+C50+C51+G32+G33+G34+G35+G36+G37+G38+G39+G40+G41+G42+G43+G44+G46+G47+G48+G49+G50+G52+G45+G51),( D31+D32+D33+D34+D35+D36+D37+D38+D39+D40+D41+D42+D43+D44+D45+D46+D47+D48+D49+D50+D51+H32+H33+H34+H35+H36+H37+H38+H39+H40+H41+H42+H43+H44+H46+H47+H48+H49+H50+H52+H45+H51))</f>
        <v>0</v>
      </c>
      <c r="N23" s="665">
        <f xml:space="preserve"> IF( M23 &gt;= 300, IF(Purchases!$M$25 = 3, 10, IF(Purchases!$M$25=2, 5,0)), 0)</f>
        <v>0</v>
      </c>
      <c r="O23" s="419"/>
      <c r="Q23" s="326" t="s">
        <v>417</v>
      </c>
      <c r="R23" s="326"/>
      <c r="S23" s="340" t="b">
        <v>1</v>
      </c>
    </row>
    <row r="24" spans="1:21" ht="15" customHeight="1" x14ac:dyDescent="0.25">
      <c r="A24" s="770"/>
      <c r="B24" s="369" t="str">
        <f>+Pkge!B28</f>
        <v xml:space="preserve">MOVENTO® (2L) </v>
      </c>
      <c r="C24" s="200"/>
      <c r="D24" s="329">
        <f>+Pkge!G28</f>
        <v>0</v>
      </c>
      <c r="E24" s="330">
        <f>+Pkge!I28</f>
        <v>0</v>
      </c>
      <c r="F24" s="369" t="str">
        <f>+Pkge!$B70</f>
        <v>TRILEX®  EVERGOL®  (1.5 L + 0.96 L)</v>
      </c>
      <c r="G24" s="200"/>
      <c r="H24" s="331">
        <f>+Pkge!G70</f>
        <v>0</v>
      </c>
      <c r="I24" s="334">
        <f>+Pkge!I70</f>
        <v>0</v>
      </c>
      <c r="J24" s="751" t="s">
        <v>270</v>
      </c>
      <c r="K24" s="752"/>
      <c r="L24" s="753"/>
      <c r="M24" s="666">
        <f>+IF( Pkge!B3 =0, (+C57+C58+C59+C60+C61+C62+C63+C64+C65+C66+C67+G57+G58+G59+G60+G61+G62+G63), ( +D57+D58+D59+D60+D61+D62+D63+D64+D65+D66+D67+H57+H58+H59+H60+H61+H62+H63))</f>
        <v>0</v>
      </c>
      <c r="N24" s="667">
        <f xml:space="preserve"> IF( M24 &gt;= 300, IF(Purchases!$M$25 = 3, 10, IF(Purchases!$M$25=2, 5,0)), 0)</f>
        <v>0</v>
      </c>
      <c r="O24" s="419"/>
      <c r="Q24" s="26" t="s">
        <v>401</v>
      </c>
    </row>
    <row r="25" spans="1:21" ht="15" customHeight="1" x14ac:dyDescent="0.25">
      <c r="A25" s="770"/>
      <c r="B25" s="369" t="str">
        <f>+Pkge!B44</f>
        <v xml:space="preserve">RAXIL® PRO (10L) </v>
      </c>
      <c r="C25" s="199"/>
      <c r="D25" s="329">
        <f>+Pkge!G44</f>
        <v>0</v>
      </c>
      <c r="E25" s="330">
        <f>+Pkge!I44</f>
        <v>0</v>
      </c>
      <c r="F25" s="372" t="str">
        <f>+Pkge!$B71</f>
        <v>TRILEX®  EVERGOL®  (6.49 L + 4.15 L)</v>
      </c>
      <c r="G25" s="200"/>
      <c r="H25" s="331">
        <f>+Pkge!G71</f>
        <v>0</v>
      </c>
      <c r="I25" s="334">
        <f>+Pkge!I71</f>
        <v>0</v>
      </c>
      <c r="J25" s="737" t="s">
        <v>227</v>
      </c>
      <c r="K25" s="738"/>
      <c r="L25" s="739"/>
      <c r="M25" s="735">
        <f>IF(M22 &gt;=300,1,0) + IF(M23&gt;=300,1,0) + IF(M24&gt;=300,1,0)</f>
        <v>0</v>
      </c>
      <c r="N25" s="668"/>
      <c r="O25" s="419"/>
    </row>
    <row r="26" spans="1:21" ht="15" customHeight="1" x14ac:dyDescent="0.25">
      <c r="A26" s="770"/>
      <c r="B26" s="369" t="str">
        <f>+Pkge!B45</f>
        <v>RAXIL®  PRO (58.5 L)</v>
      </c>
      <c r="C26" s="200"/>
      <c r="D26" s="329">
        <f>+Pkge!G45</f>
        <v>0</v>
      </c>
      <c r="E26" s="333">
        <f>+Pkge!I45</f>
        <v>0</v>
      </c>
      <c r="F26" s="372" t="str">
        <f>+Pkge!$AC72</f>
        <v>TRILEX® EVERGOL® SHIELD</v>
      </c>
      <c r="G26" s="771"/>
      <c r="H26" s="773">
        <f>+Pkge!G72</f>
        <v>0</v>
      </c>
      <c r="I26" s="783">
        <f>+Pkge!I72</f>
        <v>0</v>
      </c>
      <c r="J26" s="740"/>
      <c r="K26" s="741"/>
      <c r="L26" s="742"/>
      <c r="M26" s="736"/>
      <c r="N26" s="669"/>
      <c r="O26" s="419"/>
    </row>
    <row r="27" spans="1:21" x14ac:dyDescent="0.25">
      <c r="A27" s="770"/>
      <c r="B27" s="369" t="str">
        <f>+Pkge!B46</f>
        <v>RAXIL®  PRO (175.5 L)</v>
      </c>
      <c r="C27" s="200"/>
      <c r="D27" s="329">
        <f>+Pkge!G46</f>
        <v>0</v>
      </c>
      <c r="E27" s="333">
        <f>+Pkge!I46</f>
        <v>0</v>
      </c>
      <c r="F27" s="373" t="str">
        <f>+Pkge!$AD72</f>
        <v>(1.5 L + 0.96 L + 6.25 L)</v>
      </c>
      <c r="G27" s="772"/>
      <c r="H27" s="774"/>
      <c r="I27" s="784"/>
      <c r="J27" s="800" t="s">
        <v>331</v>
      </c>
      <c r="K27" s="801"/>
      <c r="L27" s="802"/>
      <c r="M27" s="743" t="str">
        <f>IF(+IF(Pkge!$B$3=0,(+C$21+C$22+C$23+C$25+C$26+C$27+C$28+(C$29*2)+(G$20*2)+(G$21*2)+G$23+G$24+G$25+(G$26*2)),(+D$21+D$22+D$23+D$25+D$26+D$27+D$28+(D$29*2)+(H$20*2)+(H$21*2)+H$23+H$24+H$25+(H$26*2))) &gt;=500, "Yes", "No")</f>
        <v>No</v>
      </c>
      <c r="N27" s="746">
        <f>IF($M27="Yes",5,0)</f>
        <v>0</v>
      </c>
      <c r="O27" s="419"/>
      <c r="Q27" s="293"/>
    </row>
    <row r="28" spans="1:21" ht="15" customHeight="1" x14ac:dyDescent="0.25">
      <c r="A28" s="770"/>
      <c r="B28" s="369" t="str">
        <f>+Pkge!B47</f>
        <v>RAXIL®  PRO (1000 L)</v>
      </c>
      <c r="C28" s="200"/>
      <c r="D28" s="329">
        <f>+Pkge!G47</f>
        <v>0</v>
      </c>
      <c r="E28" s="330">
        <f>+Pkge!I47</f>
        <v>0</v>
      </c>
      <c r="F28" s="441" t="str">
        <f>Pkge!$B85</f>
        <v xml:space="preserve">VAYEGO® (3L) </v>
      </c>
      <c r="G28" s="436"/>
      <c r="H28" s="437">
        <f>+Pkge!G85</f>
        <v>0</v>
      </c>
      <c r="I28" s="438">
        <f>+Pkge!I85</f>
        <v>0</v>
      </c>
      <c r="J28" s="803"/>
      <c r="K28" s="804"/>
      <c r="L28" s="805"/>
      <c r="M28" s="744"/>
      <c r="N28" s="747"/>
      <c r="O28" s="419"/>
    </row>
    <row r="29" spans="1:21" ht="15" customHeight="1" x14ac:dyDescent="0.25">
      <c r="A29" s="770"/>
      <c r="B29" s="369" t="str">
        <f>+Pkge!$B48</f>
        <v>RAXIL®  PRO SHIELD (10 L + 1.54 L)</v>
      </c>
      <c r="C29" s="200"/>
      <c r="D29" s="329">
        <f>+Pkge!G48</f>
        <v>0</v>
      </c>
      <c r="E29" s="333">
        <f>+Pkge!I48</f>
        <v>0</v>
      </c>
      <c r="F29" s="476"/>
      <c r="G29" s="477"/>
      <c r="H29" s="477"/>
      <c r="I29" s="478"/>
      <c r="J29" s="806"/>
      <c r="K29" s="807"/>
      <c r="L29" s="808"/>
      <c r="M29" s="745"/>
      <c r="N29" s="731"/>
      <c r="O29" s="419"/>
    </row>
    <row r="30" spans="1:21" ht="15" customHeight="1" x14ac:dyDescent="0.25">
      <c r="A30" s="770"/>
      <c r="B30" s="415" t="s">
        <v>346</v>
      </c>
      <c r="C30" s="416"/>
      <c r="D30" s="416"/>
      <c r="E30" s="417" t="s">
        <v>347</v>
      </c>
      <c r="F30" s="442">
        <f>+M23</f>
        <v>0</v>
      </c>
      <c r="G30" s="439"/>
      <c r="H30" s="439"/>
      <c r="I30" s="439"/>
      <c r="J30" s="712" t="s">
        <v>342</v>
      </c>
      <c r="K30" s="738"/>
      <c r="L30" s="739"/>
      <c r="M30" s="743" t="str">
        <f>+RebateSummary!Q68</f>
        <v>No</v>
      </c>
      <c r="N30" s="746">
        <f>IF($M30="Yes",5,0)</f>
        <v>0</v>
      </c>
      <c r="O30" s="419"/>
    </row>
    <row r="31" spans="1:21" ht="15" customHeight="1" x14ac:dyDescent="0.25">
      <c r="A31" s="770"/>
      <c r="B31" s="369" t="str">
        <f>Pkge!$B8</f>
        <v>BUCTRIL®  M (8 L)</v>
      </c>
      <c r="C31" s="201"/>
      <c r="D31" s="331">
        <f>+Pkge!G8</f>
        <v>0</v>
      </c>
      <c r="E31" s="332">
        <f>+Pkge!I8</f>
        <v>0</v>
      </c>
      <c r="F31" s="473" t="str">
        <f>+Pkge!$B107</f>
        <v>ROUNDUP TRANSORB® HC (800 L)</v>
      </c>
      <c r="G31" s="466"/>
      <c r="H31" s="467">
        <f>+Pkge!G107</f>
        <v>0</v>
      </c>
      <c r="I31" s="468">
        <f>+Pkge!I107</f>
        <v>0</v>
      </c>
      <c r="J31" s="809"/>
      <c r="K31" s="810"/>
      <c r="L31" s="811"/>
      <c r="M31" s="748"/>
      <c r="N31" s="747"/>
      <c r="O31" s="419"/>
    </row>
    <row r="32" spans="1:21" ht="15" customHeight="1" x14ac:dyDescent="0.25">
      <c r="A32" s="770"/>
      <c r="B32" s="369" t="str">
        <f>Pkge!$B9</f>
        <v>BUCTRIL®  M (128 L)</v>
      </c>
      <c r="C32" s="201"/>
      <c r="D32" s="329">
        <f>+Pkge!G9</f>
        <v>0</v>
      </c>
      <c r="E32" s="330">
        <f>+Pkge!I9</f>
        <v>0</v>
      </c>
      <c r="F32" s="369" t="str">
        <f>+Pkge!$AC50</f>
        <v>ROUNDUP XTEND® (10 L)</v>
      </c>
      <c r="G32" s="200"/>
      <c r="H32" s="331">
        <f>+Pkge!G50</f>
        <v>0</v>
      </c>
      <c r="I32" s="332">
        <f>+Pkge!I50</f>
        <v>0</v>
      </c>
      <c r="J32" s="740"/>
      <c r="K32" s="741"/>
      <c r="L32" s="742"/>
      <c r="M32" s="749"/>
      <c r="N32" s="731"/>
      <c r="O32" s="419"/>
    </row>
    <row r="33" spans="1:17" ht="15" customHeight="1" x14ac:dyDescent="0.25">
      <c r="A33" s="770"/>
      <c r="B33" s="369" t="str">
        <f>Pkge!$B10</f>
        <v>BUCTRIL®  M (400 L)</v>
      </c>
      <c r="C33" s="201"/>
      <c r="D33" s="329">
        <f>+Pkge!G10</f>
        <v>0</v>
      </c>
      <c r="E33" s="330">
        <f>+Pkge!I10</f>
        <v>0</v>
      </c>
      <c r="F33" s="369" t="str">
        <f>+Pkge!$AC51</f>
        <v>ROUNDUP XTEND® (450 L)</v>
      </c>
      <c r="G33" s="199"/>
      <c r="H33" s="329">
        <f>+Pkge!G51</f>
        <v>0</v>
      </c>
      <c r="I33" s="332">
        <f>+Pkge!I51</f>
        <v>0</v>
      </c>
      <c r="J33" s="800" t="s">
        <v>410</v>
      </c>
      <c r="K33" s="812"/>
      <c r="L33" s="813"/>
      <c r="M33" s="743" t="str">
        <f>IF((Pkge!$L14 + Pkge!$L95) &gt;=500, "Yes", "No")</f>
        <v>No</v>
      </c>
      <c r="N33" s="750"/>
      <c r="O33" s="419"/>
      <c r="Q33" s="26" t="s">
        <v>404</v>
      </c>
    </row>
    <row r="34" spans="1:17" ht="15" customHeight="1" x14ac:dyDescent="0.25">
      <c r="A34" s="770"/>
      <c r="B34" s="369" t="str">
        <f>Pkge!$B89</f>
        <v>CIRRAY® (6.48 L)</v>
      </c>
      <c r="C34" s="201"/>
      <c r="D34" s="329">
        <f>+Pkge!G89</f>
        <v>0</v>
      </c>
      <c r="E34" s="330">
        <f>+Pkge!I89</f>
        <v>0</v>
      </c>
      <c r="F34" s="369" t="str">
        <f>+Pkge!$AC52</f>
        <v>ROUNDUP XTEND® 2 (10 L)</v>
      </c>
      <c r="G34" s="199"/>
      <c r="H34" s="329">
        <f>+Pkge!G52</f>
        <v>0</v>
      </c>
      <c r="I34" s="330">
        <f>+Pkge!I52</f>
        <v>0</v>
      </c>
      <c r="J34" s="814"/>
      <c r="K34" s="815"/>
      <c r="L34" s="816"/>
      <c r="M34" s="749"/>
      <c r="N34" s="731"/>
      <c r="O34" s="419"/>
      <c r="Q34" s="26" t="s">
        <v>440</v>
      </c>
    </row>
    <row r="35" spans="1:17" ht="15" customHeight="1" x14ac:dyDescent="0.25">
      <c r="A35" s="770"/>
      <c r="B35" s="369" t="str">
        <f>Pkge!$B90</f>
        <v>CIRRAY® (103.6 L)</v>
      </c>
      <c r="C35" s="201"/>
      <c r="D35" s="329">
        <f>+Pkge!G90</f>
        <v>0</v>
      </c>
      <c r="E35" s="330">
        <f>+Pkge!I90</f>
        <v>0</v>
      </c>
      <c r="F35" s="369" t="str">
        <f>+Pkge!$AC53</f>
        <v>ROUNDUP XTEND® 2 (450 L)</v>
      </c>
      <c r="G35" s="199"/>
      <c r="H35" s="329">
        <f>+Pkge!G53</f>
        <v>0</v>
      </c>
      <c r="I35" s="330">
        <f>+Pkge!I53</f>
        <v>0</v>
      </c>
      <c r="J35" s="732" t="str">
        <f>IF(S$20 = TRUE, Q33, Q40)</f>
        <v>Qualifies for Pre-Burn Tank-Mix Bonus</v>
      </c>
      <c r="K35" s="733"/>
      <c r="L35" s="734"/>
      <c r="M35" s="670" t="str">
        <f>IF(S$20= TRUE, IF(RebateSummary!C$64 &gt;= 1000, "Yes", IF(RebateSummary!C$65 &gt;= 1000, "Yes", "No" ) ), RebateSummary!C70)</f>
        <v>No</v>
      </c>
      <c r="N35" s="671"/>
      <c r="O35" s="419"/>
      <c r="Q35" s="26" t="s">
        <v>439</v>
      </c>
    </row>
    <row r="36" spans="1:17" ht="15" customHeight="1" x14ac:dyDescent="0.25">
      <c r="A36" s="770"/>
      <c r="B36" s="369" t="str">
        <f>+Pkge!B101</f>
        <v>HUSKIE PRE® (8.1 L)</v>
      </c>
      <c r="C36" s="201"/>
      <c r="D36" s="329">
        <f>+Pkge!G101</f>
        <v>0</v>
      </c>
      <c r="E36" s="330">
        <f>+Pkge!I101</f>
        <v>0</v>
      </c>
      <c r="F36" s="369" t="str">
        <f>+Pkge!$B63</f>
        <v>SENCOR®  75DF (2.5 KG )</v>
      </c>
      <c r="G36" s="199"/>
      <c r="H36" s="329">
        <f>+Pkge!G63</f>
        <v>0</v>
      </c>
      <c r="I36" s="330">
        <f>+Pkge!I63</f>
        <v>0</v>
      </c>
      <c r="J36" s="708" t="str">
        <f>IF(S$20 = TRUE, Q34, Q42)</f>
        <v>Payable Pre-Burn Tank-Mix Acres</v>
      </c>
      <c r="K36" s="709"/>
      <c r="L36" s="709"/>
      <c r="M36" s="716">
        <f>IF(S$20 = TRUE,  RebateSummary!C64, RebateSummary!C71)</f>
        <v>0</v>
      </c>
      <c r="N36" s="718" t="str">
        <f>IF(S$20= TRUE, IF(RebateSummary!C$64 &gt;= 1000,5, 0 ), "    ")</f>
        <v xml:space="preserve">    </v>
      </c>
      <c r="O36" s="419"/>
      <c r="Q36" s="26" t="s">
        <v>431</v>
      </c>
    </row>
    <row r="37" spans="1:17" ht="15" customHeight="1" x14ac:dyDescent="0.25">
      <c r="A37" s="770"/>
      <c r="B37" s="369" t="str">
        <f>+Pkge!B102</f>
        <v>HUSKIE PRE® (129.6 L)</v>
      </c>
      <c r="C37" s="201"/>
      <c r="D37" s="329">
        <f>+Pkge!G102</f>
        <v>0</v>
      </c>
      <c r="E37" s="330">
        <f>+Pkge!I102</f>
        <v>0</v>
      </c>
      <c r="F37" s="369" t="str">
        <f>+Pkge!$B66</f>
        <v>THUMPER®  (8 L)</v>
      </c>
      <c r="G37" s="199"/>
      <c r="H37" s="329">
        <f>+Pkge!G66</f>
        <v>0</v>
      </c>
      <c r="I37" s="333">
        <f>+Pkge!I66</f>
        <v>0</v>
      </c>
      <c r="J37" s="710"/>
      <c r="K37" s="711"/>
      <c r="L37" s="711"/>
      <c r="M37" s="717"/>
      <c r="N37" s="719" t="str">
        <f>IF(T$20= TRUE, IF(RebateSummary!D$64 &gt;= 1000, "Yes", IF(RebateSummary!D$65 &gt;= 1000, "Yes", "No" ) ), "    ")</f>
        <v xml:space="preserve">    </v>
      </c>
      <c r="O37" s="419"/>
      <c r="Q37" s="26" t="s">
        <v>430</v>
      </c>
    </row>
    <row r="38" spans="1:17" ht="15" customHeight="1" x14ac:dyDescent="0.25">
      <c r="A38" s="770"/>
      <c r="B38" s="369" t="str">
        <f>+Pkge!B103</f>
        <v>HUSKIE PRE® (405 L)</v>
      </c>
      <c r="C38" s="201"/>
      <c r="D38" s="329">
        <f>+Pkge!G103</f>
        <v>0</v>
      </c>
      <c r="E38" s="330">
        <f>+Pkge!I103</f>
        <v>0</v>
      </c>
      <c r="F38" s="369" t="str">
        <f>+Pkge!$B67</f>
        <v>THUMPER®  (128 L)</v>
      </c>
      <c r="G38" s="199"/>
      <c r="H38" s="329">
        <f>+Pkge!G67</f>
        <v>0</v>
      </c>
      <c r="I38" s="333">
        <f>+Pkge!I67</f>
        <v>0</v>
      </c>
      <c r="J38" s="712" t="str">
        <f>IF(S$20 = TRUE, Q35, " ")</f>
        <v xml:space="preserve"> </v>
      </c>
      <c r="K38" s="713"/>
      <c r="L38" s="713"/>
      <c r="M38" s="716" t="str">
        <f>IF(S$20 = TRUE,  RebateSummary!C65, " ")</f>
        <v xml:space="preserve"> </v>
      </c>
      <c r="N38" s="718" t="str">
        <f>IF(S$20= TRUE, IF(RebateSummary!C$65 &gt;= 1000,5, 0 ), "    ")</f>
        <v xml:space="preserve">    </v>
      </c>
      <c r="O38" s="419"/>
      <c r="Q38" s="26" t="s">
        <v>441</v>
      </c>
    </row>
    <row r="39" spans="1:17" ht="15" customHeight="1" x14ac:dyDescent="0.25">
      <c r="A39" s="770"/>
      <c r="B39" s="369" t="str">
        <f>+Pkge!B17</f>
        <v>INFINITY®  (6.7 L)</v>
      </c>
      <c r="C39" s="201"/>
      <c r="D39" s="329">
        <f>+Pkge!G17</f>
        <v>0</v>
      </c>
      <c r="E39" s="330">
        <f>+Pkge!I17</f>
        <v>0</v>
      </c>
      <c r="F39" s="369" t="str">
        <f>+Pkge!$B68</f>
        <v>THUMPER®  (400L)</v>
      </c>
      <c r="G39" s="199"/>
      <c r="H39" s="329">
        <f>+Pkge!G68</f>
        <v>0</v>
      </c>
      <c r="I39" s="333">
        <f>+Pkge!I68</f>
        <v>0</v>
      </c>
      <c r="J39" s="714"/>
      <c r="K39" s="715"/>
      <c r="L39" s="715"/>
      <c r="M39" s="717"/>
      <c r="N39" s="719" t="str">
        <f>IF(T$20= TRUE, IF(RebateSummary!D$64 &gt;= 1000, "Yes", IF(RebateSummary!D$65 &gt;= 1000, "Yes", "No" ) ), "    ")</f>
        <v xml:space="preserve">    </v>
      </c>
      <c r="O39" s="419"/>
    </row>
    <row r="40" spans="1:17" x14ac:dyDescent="0.25">
      <c r="A40" s="770"/>
      <c r="B40" s="369" t="str">
        <f>+Pkge!B18</f>
        <v>INFINITY®  (107.2 L)</v>
      </c>
      <c r="C40" s="201"/>
      <c r="D40" s="329">
        <f>+Pkge!G18</f>
        <v>0</v>
      </c>
      <c r="E40" s="330">
        <f>+Pkge!I18</f>
        <v>0</v>
      </c>
      <c r="F40" s="369" t="str">
        <f>Pkge!$B73</f>
        <v>TUNDRA®  (8.1 L)</v>
      </c>
      <c r="G40" s="199"/>
      <c r="H40" s="329">
        <f>+Pkge!G73</f>
        <v>0</v>
      </c>
      <c r="I40" s="334">
        <f>+Pkge!I73</f>
        <v>0</v>
      </c>
      <c r="J40" s="727" t="str">
        <f>IF(S$20 = TRUE, Q40, " ")</f>
        <v xml:space="preserve"> </v>
      </c>
      <c r="K40" s="728"/>
      <c r="L40" s="729"/>
      <c r="M40" s="672" t="str">
        <f>IF( S20 = TRUE, RebateSummary!C70, " ")</f>
        <v xml:space="preserve"> </v>
      </c>
      <c r="N40" s="673"/>
      <c r="O40" s="419"/>
      <c r="Q40" s="26" t="s">
        <v>431</v>
      </c>
    </row>
    <row r="41" spans="1:17" ht="15" customHeight="1" x14ac:dyDescent="0.25">
      <c r="A41" s="770"/>
      <c r="B41" s="369" t="str">
        <f>+Pkge!B19</f>
        <v>INFINITY®  (335 L)</v>
      </c>
      <c r="C41" s="201"/>
      <c r="D41" s="329">
        <f>+Pkge!G19</f>
        <v>0</v>
      </c>
      <c r="E41" s="330">
        <f>+Pkge!I19</f>
        <v>0</v>
      </c>
      <c r="F41" s="369" t="str">
        <f>Pkge!$B74</f>
        <v>TUNDRA®  (129.6 L)</v>
      </c>
      <c r="G41" s="199"/>
      <c r="H41" s="329">
        <f>+Pkge!G74</f>
        <v>0</v>
      </c>
      <c r="I41" s="330">
        <f>+Pkge!I74</f>
        <v>0</v>
      </c>
      <c r="J41" s="712" t="str">
        <f>IF(S$20 = TRUE, Q42, " ")</f>
        <v xml:space="preserve"> </v>
      </c>
      <c r="K41" s="713"/>
      <c r="L41" s="713"/>
      <c r="M41" s="716" t="str">
        <f>IF( S20 = TRUE, +RebateSummary!C71, " ")</f>
        <v xml:space="preserve"> </v>
      </c>
      <c r="N41" s="730"/>
      <c r="O41" s="419"/>
    </row>
    <row r="42" spans="1:17" ht="15" customHeight="1" x14ac:dyDescent="0.25">
      <c r="A42" s="428"/>
      <c r="B42" s="369" t="str">
        <f>+Pkge!B21</f>
        <v>INFINITY®  FX (8.1 L)</v>
      </c>
      <c r="C42" s="201"/>
      <c r="D42" s="329">
        <f>+Pkge!G21</f>
        <v>0</v>
      </c>
      <c r="E42" s="330">
        <f>+Pkge!I21</f>
        <v>0</v>
      </c>
      <c r="F42" s="369" t="str">
        <f>Pkge!$B75</f>
        <v>TUNDRA®  (405 L)</v>
      </c>
      <c r="G42" s="199"/>
      <c r="H42" s="329">
        <f>+Pkge!G75</f>
        <v>0</v>
      </c>
      <c r="I42" s="330">
        <f>+Pkge!I75</f>
        <v>0</v>
      </c>
      <c r="J42" s="714" t="str">
        <f t="shared" ref="J42" si="0">IF(S22 = TRUE, Q42, " ")</f>
        <v xml:space="preserve"> </v>
      </c>
      <c r="K42" s="715"/>
      <c r="L42" s="715"/>
      <c r="M42" s="717"/>
      <c r="N42" s="731"/>
      <c r="O42" s="419"/>
      <c r="Q42" s="26" t="s">
        <v>430</v>
      </c>
    </row>
    <row r="43" spans="1:17" ht="15" customHeight="1" x14ac:dyDescent="0.25">
      <c r="A43" s="428"/>
      <c r="B43" s="369" t="str">
        <f>+Pkge!B23</f>
        <v>INFINITY®  FX  (129.6 L)</v>
      </c>
      <c r="C43" s="201"/>
      <c r="D43" s="329">
        <f>+Pkge!G23</f>
        <v>0</v>
      </c>
      <c r="E43" s="330">
        <f>+Pkge!I23</f>
        <v>0</v>
      </c>
      <c r="F43" s="369" t="str">
        <f>Pkge!$B76</f>
        <v>VARRO®  (8 L)</v>
      </c>
      <c r="G43" s="199"/>
      <c r="H43" s="329">
        <f>+Pkge!G76</f>
        <v>0</v>
      </c>
      <c r="I43" s="330">
        <f>+Pkge!I76</f>
        <v>0</v>
      </c>
      <c r="J43" s="474"/>
      <c r="K43" s="469"/>
      <c r="L43" s="469"/>
      <c r="M43" s="469"/>
      <c r="N43" s="475"/>
      <c r="O43" s="419"/>
    </row>
    <row r="44" spans="1:17" ht="15" customHeight="1" x14ac:dyDescent="0.25">
      <c r="A44" s="428"/>
      <c r="B44" s="369" t="str">
        <f>+Pkge!B22</f>
        <v>INFINITY®  FX  (405 L)</v>
      </c>
      <c r="C44" s="201"/>
      <c r="D44" s="329">
        <f>+Pkge!G22</f>
        <v>0</v>
      </c>
      <c r="E44" s="330">
        <f>+Pkge!I22</f>
        <v>0</v>
      </c>
      <c r="F44" s="369" t="str">
        <f>Pkge!$B96</f>
        <v>VARRO® FX  (8 L)</v>
      </c>
      <c r="G44" s="199"/>
      <c r="H44" s="329">
        <f>+Pkge!G96</f>
        <v>0</v>
      </c>
      <c r="I44" s="330">
        <f>+Pkge!I96</f>
        <v>0</v>
      </c>
      <c r="J44" s="720" t="str">
        <f>IF(S20 = TRUE, Q$44, Q$45)</f>
        <v xml:space="preserve">For Raxil PRO SHIELD and Trilex EverGol SHIELD acres count as 2X for qualification purposes. Stress SHIELD is a qualification product  but is paid only on matching acres with Raxil PRO and/or Trilex and/or EverGol Energy. </v>
      </c>
      <c r="K44" s="721"/>
      <c r="L44" s="721"/>
      <c r="M44" s="721"/>
      <c r="N44" s="721"/>
      <c r="O44" s="419"/>
      <c r="Q44" s="26" t="s">
        <v>488</v>
      </c>
    </row>
    <row r="45" spans="1:17" ht="15" customHeight="1" x14ac:dyDescent="0.25">
      <c r="A45" s="768" t="s">
        <v>120</v>
      </c>
      <c r="B45" s="369" t="str">
        <f>+Pkge!B32</f>
        <v>LAUDIS®  (3.6 L)</v>
      </c>
      <c r="C45" s="201"/>
      <c r="D45" s="329">
        <f>+Pkge!G32</f>
        <v>0</v>
      </c>
      <c r="E45" s="330">
        <f>+Pkge!I32</f>
        <v>0</v>
      </c>
      <c r="F45" s="369" t="str">
        <f>Pkge!$B98</f>
        <v>VARRO® FX (129.6 L)</v>
      </c>
      <c r="G45" s="199"/>
      <c r="H45" s="329">
        <f>+Pkge!G98</f>
        <v>0</v>
      </c>
      <c r="I45" s="330">
        <f>+Pkge!I98</f>
        <v>0</v>
      </c>
      <c r="J45" s="722"/>
      <c r="K45" s="721"/>
      <c r="L45" s="721"/>
      <c r="M45" s="721"/>
      <c r="N45" s="721"/>
      <c r="O45" s="419"/>
      <c r="Q45" s="26" t="s">
        <v>489</v>
      </c>
    </row>
    <row r="46" spans="1:17" ht="15" customHeight="1" x14ac:dyDescent="0.25">
      <c r="A46" s="769"/>
      <c r="B46" s="369" t="str">
        <f>+Pkge!B30</f>
        <v xml:space="preserve">OLYMPUS® (463G) </v>
      </c>
      <c r="C46" s="201"/>
      <c r="D46" s="329">
        <f>+Pkge!G30</f>
        <v>0</v>
      </c>
      <c r="E46" s="330">
        <f>+Pkge!I30</f>
        <v>0</v>
      </c>
      <c r="F46" s="369" t="str">
        <f>Pkge!$B79</f>
        <v>VELOCITY® M3 ALL-IN-ONE (8.1 L )</v>
      </c>
      <c r="G46" s="199"/>
      <c r="H46" s="329">
        <f>+Pkge!G79</f>
        <v>0</v>
      </c>
      <c r="I46" s="332">
        <f>+Pkge!I79</f>
        <v>0</v>
      </c>
      <c r="J46" s="722"/>
      <c r="K46" s="721"/>
      <c r="L46" s="721"/>
      <c r="M46" s="721"/>
      <c r="N46" s="721"/>
      <c r="O46" s="419"/>
    </row>
    <row r="47" spans="1:17" ht="15" customHeight="1" x14ac:dyDescent="0.25">
      <c r="A47" s="769"/>
      <c r="B47" s="369" t="str">
        <f>+Pkge!B33</f>
        <v xml:space="preserve">PARDNER® (8L) </v>
      </c>
      <c r="C47" s="201"/>
      <c r="D47" s="329">
        <f>+Pkge!G33</f>
        <v>0</v>
      </c>
      <c r="E47" s="330">
        <f>+Pkge!I33</f>
        <v>0</v>
      </c>
      <c r="F47" s="369" t="str">
        <f>Pkge!$B80</f>
        <v>VELOCITY® M3 ALL-IN-ONE (129.6 L)</v>
      </c>
      <c r="G47" s="199"/>
      <c r="H47" s="329">
        <f>+Pkge!G80</f>
        <v>0</v>
      </c>
      <c r="I47" s="332">
        <f>+Pkge!I80</f>
        <v>0</v>
      </c>
      <c r="J47" s="722"/>
      <c r="K47" s="721"/>
      <c r="L47" s="721"/>
      <c r="M47" s="721"/>
      <c r="N47" s="721"/>
      <c r="O47" s="419"/>
    </row>
    <row r="48" spans="1:17" ht="15" customHeight="1" x14ac:dyDescent="0.25">
      <c r="A48" s="769"/>
      <c r="B48" s="369" t="str">
        <f>+Pkge!B34</f>
        <v>PARDNER®  (128L)</v>
      </c>
      <c r="C48" s="201"/>
      <c r="D48" s="329">
        <f>+Pkge!G34</f>
        <v>0</v>
      </c>
      <c r="E48" s="330">
        <f>+Pkge!I34</f>
        <v>0</v>
      </c>
      <c r="F48" s="369" t="str">
        <f>Pkge!$AC81</f>
        <v>XTENDIMAX® (10 L)</v>
      </c>
      <c r="G48" s="199"/>
      <c r="H48" s="329">
        <f>+Pkge!G81</f>
        <v>0</v>
      </c>
      <c r="I48" s="332">
        <f>+Pkge!I81</f>
        <v>0</v>
      </c>
      <c r="J48" s="723" t="str">
        <f>IF(S20 = TRUE, Q48, "")</f>
        <v/>
      </c>
      <c r="K48" s="724"/>
      <c r="L48" s="724"/>
      <c r="M48" s="724"/>
      <c r="N48" s="725"/>
      <c r="O48" s="419"/>
      <c r="Q48" s="26" t="s">
        <v>442</v>
      </c>
    </row>
    <row r="49" spans="1:19" ht="15" customHeight="1" x14ac:dyDescent="0.25">
      <c r="A49" s="769"/>
      <c r="B49" s="369" t="str">
        <f>+Pkge!B41</f>
        <v>PUMA®  ADVANCE (8.25 L)</v>
      </c>
      <c r="C49" s="201"/>
      <c r="D49" s="329">
        <f>+Pkge!G41</f>
        <v>0</v>
      </c>
      <c r="E49" s="330">
        <f>+Pkge!I41</f>
        <v>0</v>
      </c>
      <c r="F49" s="369" t="str">
        <f>Pkge!$AC82</f>
        <v>XTENDIMAX® (450 L)</v>
      </c>
      <c r="G49" s="199"/>
      <c r="H49" s="329">
        <f>+Pkge!G82</f>
        <v>0</v>
      </c>
      <c r="I49" s="332">
        <f>+Pkge!I82</f>
        <v>0</v>
      </c>
      <c r="J49" s="726"/>
      <c r="K49" s="724"/>
      <c r="L49" s="724"/>
      <c r="M49" s="724"/>
      <c r="N49" s="725"/>
      <c r="O49" s="419"/>
    </row>
    <row r="50" spans="1:19" ht="15" customHeight="1" x14ac:dyDescent="0.25">
      <c r="A50" s="769"/>
      <c r="B50" s="372" t="str">
        <f>+Pkge!B42</f>
        <v>PUMA®  ADVANCE (123.75 L)</v>
      </c>
      <c r="C50" s="459"/>
      <c r="D50" s="460">
        <f>+Pkge!G42</f>
        <v>0</v>
      </c>
      <c r="E50" s="462">
        <f>+Pkge!I42</f>
        <v>0</v>
      </c>
      <c r="F50" s="369" t="str">
        <f>Pkge!$AC83</f>
        <v>XTENDIMAX® 2 (10 L)</v>
      </c>
      <c r="G50" s="199"/>
      <c r="H50" s="329">
        <f>+Pkge!G83</f>
        <v>0</v>
      </c>
      <c r="I50" s="332">
        <f>+Pkge!I83</f>
        <v>0</v>
      </c>
      <c r="J50" s="726"/>
      <c r="K50" s="724"/>
      <c r="L50" s="724"/>
      <c r="M50" s="724"/>
      <c r="N50" s="725"/>
      <c r="O50" s="419"/>
    </row>
    <row r="51" spans="1:19" ht="15" customHeight="1" x14ac:dyDescent="0.25">
      <c r="A51" s="769"/>
      <c r="B51" s="472" t="str">
        <f>+Pkge!B43</f>
        <v>PUMA®  ADVANCE (412.5 L)</v>
      </c>
      <c r="C51" s="463"/>
      <c r="D51" s="464">
        <f>+Pkge!G43</f>
        <v>0</v>
      </c>
      <c r="E51" s="703">
        <f>+Pkge!I43</f>
        <v>0</v>
      </c>
      <c r="F51" s="369" t="str">
        <f>Pkge!$AC99</f>
        <v>XTENDIMAX® 2 (122.38 L)</v>
      </c>
      <c r="G51" s="199"/>
      <c r="H51" s="329">
        <f>+Pkge!G99</f>
        <v>0</v>
      </c>
      <c r="I51" s="332">
        <f>+Pkge!I99</f>
        <v>0</v>
      </c>
      <c r="J51" s="726"/>
      <c r="K51" s="724"/>
      <c r="L51" s="724"/>
      <c r="M51" s="724"/>
      <c r="N51" s="725"/>
      <c r="O51" s="419"/>
    </row>
    <row r="52" spans="1:19" ht="15" customHeight="1" x14ac:dyDescent="0.25">
      <c r="A52" s="769"/>
      <c r="B52" s="473" t="str">
        <f>+Pkge!B104</f>
        <v>ROUNDUP TRANSORB® HC (10 L)</v>
      </c>
      <c r="C52" s="466"/>
      <c r="D52" s="702">
        <f>+Pkge!G104</f>
        <v>0</v>
      </c>
      <c r="E52" s="564"/>
      <c r="F52" s="461" t="str">
        <f>Pkge!$AC84</f>
        <v>XTENDIMAX® 2 (450 L)</v>
      </c>
      <c r="G52" s="199"/>
      <c r="H52" s="329">
        <f>+Pkge!G84</f>
        <v>0</v>
      </c>
      <c r="I52" s="332">
        <f>+Pkge!I84</f>
        <v>0</v>
      </c>
      <c r="J52" s="454"/>
      <c r="K52" s="419"/>
      <c r="L52" s="419"/>
      <c r="M52" s="419"/>
      <c r="N52" s="453"/>
      <c r="O52" s="419"/>
    </row>
    <row r="53" spans="1:19" ht="15" customHeight="1" x14ac:dyDescent="0.25">
      <c r="A53" s="769"/>
      <c r="B53" s="473" t="str">
        <f>+Pkge!B105</f>
        <v>ROUNDUP TRANSORB® HC (115 L)</v>
      </c>
      <c r="C53" s="466"/>
      <c r="D53" s="702">
        <f>+Pkge!G105</f>
        <v>0</v>
      </c>
      <c r="E53" s="462"/>
      <c r="I53" s="470"/>
      <c r="J53" s="454"/>
      <c r="K53" s="419"/>
      <c r="L53" s="419"/>
      <c r="M53" s="419"/>
      <c r="N53" s="453"/>
      <c r="O53" s="419"/>
    </row>
    <row r="54" spans="1:19" ht="15" customHeight="1" x14ac:dyDescent="0.25">
      <c r="A54" s="769"/>
      <c r="B54" s="473" t="str">
        <f>+Pkge!B106</f>
        <v>ROUNDUP TRANSORB® HC (450 L)</v>
      </c>
      <c r="C54" s="466"/>
      <c r="D54" s="702">
        <f>+Pkge!G106</f>
        <v>0</v>
      </c>
      <c r="E54" s="462"/>
      <c r="I54" s="470"/>
      <c r="J54" s="454"/>
      <c r="K54" s="419"/>
      <c r="L54" s="419"/>
      <c r="M54" s="419"/>
      <c r="N54" s="453"/>
      <c r="O54" s="419"/>
    </row>
    <row r="55" spans="1:19" ht="15" hidden="1" customHeight="1" x14ac:dyDescent="0.25">
      <c r="A55" s="769"/>
      <c r="B55" s="474"/>
      <c r="C55" s="469"/>
      <c r="D55" s="469"/>
      <c r="E55" s="450"/>
      <c r="F55" s="469"/>
      <c r="G55" s="469"/>
      <c r="H55" s="469"/>
      <c r="I55" s="475"/>
      <c r="J55" s="454"/>
      <c r="K55" s="419"/>
      <c r="L55" s="419"/>
      <c r="M55" s="419"/>
      <c r="N55" s="453"/>
      <c r="O55" s="419"/>
    </row>
    <row r="56" spans="1:19" ht="15" customHeight="1" x14ac:dyDescent="0.25">
      <c r="A56" s="769"/>
      <c r="B56" s="415" t="s">
        <v>345</v>
      </c>
      <c r="C56" s="416"/>
      <c r="D56" s="416"/>
      <c r="E56" s="705" t="s">
        <v>347</v>
      </c>
      <c r="F56" s="704">
        <f>+M24</f>
        <v>0</v>
      </c>
      <c r="G56" s="416"/>
      <c r="H56" s="416"/>
      <c r="I56" s="416"/>
      <c r="J56" s="454"/>
      <c r="K56" s="419"/>
      <c r="L56" s="419"/>
      <c r="M56" s="419"/>
      <c r="N56" s="453"/>
      <c r="O56" s="419"/>
    </row>
    <row r="57" spans="1:19" ht="15" customHeight="1" x14ac:dyDescent="0.25">
      <c r="A57" s="769"/>
      <c r="B57" s="369" t="str">
        <f>+Pkge!B12</f>
        <v>DELARO®  (7.1 L)</v>
      </c>
      <c r="C57" s="201"/>
      <c r="D57" s="329">
        <f>+Pkge!G12</f>
        <v>0</v>
      </c>
      <c r="E57" s="330">
        <f>+Pkge!I12</f>
        <v>0</v>
      </c>
      <c r="F57" s="369" t="str">
        <f>+Pkge!B39</f>
        <v>PROSARO®  XTR (6.5 L)</v>
      </c>
      <c r="G57" s="201"/>
      <c r="H57" s="329">
        <f>+Pkge!G39</f>
        <v>0</v>
      </c>
      <c r="I57" s="333">
        <f>+Pkge!I39</f>
        <v>0</v>
      </c>
      <c r="J57" s="454"/>
      <c r="K57" s="419"/>
      <c r="L57" s="419"/>
      <c r="M57" s="419"/>
      <c r="N57" s="453"/>
      <c r="O57" s="419"/>
    </row>
    <row r="58" spans="1:19" ht="15" customHeight="1" x14ac:dyDescent="0.25">
      <c r="A58" s="769"/>
      <c r="B58" s="369" t="str">
        <f>+Pkge!B13</f>
        <v xml:space="preserve">DELARO® (113.6L) </v>
      </c>
      <c r="C58" s="201"/>
      <c r="D58" s="329">
        <f>+Pkge!G13</f>
        <v>0</v>
      </c>
      <c r="E58" s="330">
        <f>+Pkge!I13</f>
        <v>0</v>
      </c>
      <c r="F58" s="369" t="str">
        <f>+Pkge!B40</f>
        <v xml:space="preserve">PROSARO® XTR (104L) </v>
      </c>
      <c r="G58" s="201"/>
      <c r="H58" s="329">
        <f>+Pkge!G40</f>
        <v>0</v>
      </c>
      <c r="I58" s="333">
        <f>+Pkge!I40</f>
        <v>0</v>
      </c>
      <c r="J58" s="454"/>
      <c r="K58" s="419"/>
      <c r="L58" s="419"/>
      <c r="M58" s="419"/>
      <c r="N58" s="453"/>
      <c r="O58" s="419"/>
    </row>
    <row r="59" spans="1:19" ht="15" customHeight="1" x14ac:dyDescent="0.25">
      <c r="A59" s="769"/>
      <c r="B59" s="369" t="str">
        <f>+Pkge!B94</f>
        <v>DELARO® COMPLETE (7.1 L)</v>
      </c>
      <c r="C59" s="201"/>
      <c r="D59" s="329">
        <f>+Pkge!G94</f>
        <v>0</v>
      </c>
      <c r="E59" s="330">
        <f>+Pkge!I94</f>
        <v>0</v>
      </c>
      <c r="F59" s="369" t="str">
        <f>+Pkge!$B60</f>
        <v>SCALA®  (2 L)</v>
      </c>
      <c r="G59" s="201"/>
      <c r="H59" s="329">
        <f>+Pkge!G60</f>
        <v>0</v>
      </c>
      <c r="I59" s="333">
        <f>+Pkge!I60</f>
        <v>0</v>
      </c>
      <c r="J59" s="454"/>
      <c r="K59" s="419"/>
      <c r="L59" s="419"/>
      <c r="M59" s="419"/>
      <c r="N59" s="453"/>
      <c r="O59" s="419"/>
      <c r="R59" s="290" t="s">
        <v>335</v>
      </c>
      <c r="S59" s="289"/>
    </row>
    <row r="60" spans="1:19" ht="15" customHeight="1" x14ac:dyDescent="0.25">
      <c r="A60" s="769"/>
      <c r="B60" s="369" t="str">
        <f>+Pkge!B100</f>
        <v>DELARO® COMPLETE (113.8 L)</v>
      </c>
      <c r="C60" s="201"/>
      <c r="D60" s="329">
        <f>+Pkge!G100</f>
        <v>0</v>
      </c>
      <c r="E60" s="330">
        <f>+Pkge!I100</f>
        <v>0</v>
      </c>
      <c r="F60" s="369" t="str">
        <f>+Pkge!$B61</f>
        <v>SCALA®  (6.07 L)</v>
      </c>
      <c r="G60" s="201"/>
      <c r="H60" s="329">
        <f>+Pkge!G61</f>
        <v>0</v>
      </c>
      <c r="I60" s="333">
        <f>+Pkge!I61</f>
        <v>0</v>
      </c>
      <c r="J60" s="454"/>
      <c r="K60" s="419"/>
      <c r="L60" s="419"/>
      <c r="M60" s="419"/>
      <c r="N60" s="453"/>
      <c r="O60" s="419"/>
      <c r="R60" s="290" t="s">
        <v>339</v>
      </c>
      <c r="S60" s="289"/>
    </row>
    <row r="61" spans="1:19" ht="15" customHeight="1" x14ac:dyDescent="0.25">
      <c r="A61" s="769"/>
      <c r="B61" s="369" t="str">
        <f>+Pkge!B24</f>
        <v xml:space="preserve">LUNA TRANQUILITY® (2L) </v>
      </c>
      <c r="C61" s="201"/>
      <c r="D61" s="329">
        <f>+Pkge!G24</f>
        <v>0</v>
      </c>
      <c r="E61" s="333">
        <f>+Pkge!I24</f>
        <v>0</v>
      </c>
      <c r="F61" s="369" t="str">
        <f>+Pkge!$B69</f>
        <v>TILMOR®    (10.12 L)</v>
      </c>
      <c r="G61" s="201"/>
      <c r="H61" s="329">
        <f>+Pkge!G69</f>
        <v>0</v>
      </c>
      <c r="I61" s="333">
        <f>+Pkge!I69</f>
        <v>0</v>
      </c>
      <c r="J61" s="454"/>
      <c r="K61" s="419"/>
      <c r="L61" s="419"/>
      <c r="M61" s="419"/>
      <c r="N61" s="453"/>
      <c r="O61" s="419"/>
    </row>
    <row r="62" spans="1:19" ht="15" customHeight="1" x14ac:dyDescent="0.25">
      <c r="A62" s="769"/>
      <c r="B62" s="369" t="str">
        <f>+Pkge!B25</f>
        <v>LUNA TRANQUILITY® (4.86L)</v>
      </c>
      <c r="C62" s="201"/>
      <c r="D62" s="329">
        <f>+Pkge!G25</f>
        <v>0</v>
      </c>
      <c r="E62" s="333">
        <f>+Pkge!I25</f>
        <v>0</v>
      </c>
      <c r="F62" s="369" t="str">
        <f>Pkge!$B78</f>
        <v>VELUM®  PRIME (4.04 L)</v>
      </c>
      <c r="G62" s="201"/>
      <c r="H62" s="329">
        <f>+Pkge!G78</f>
        <v>0</v>
      </c>
      <c r="I62" s="333">
        <f>+Pkge!I78</f>
        <v>0</v>
      </c>
      <c r="J62" s="454"/>
      <c r="K62" s="490"/>
      <c r="L62" s="419"/>
      <c r="M62" s="419"/>
      <c r="N62" s="453"/>
      <c r="O62" s="419"/>
    </row>
    <row r="63" spans="1:19" ht="15" customHeight="1" x14ac:dyDescent="0.25">
      <c r="A63" s="769"/>
      <c r="B63" s="369" t="str">
        <f>+Pkge!B93</f>
        <v>MINUET® (3.78 L)</v>
      </c>
      <c r="C63" s="201"/>
      <c r="D63" s="329">
        <f>+Pkge!G93</f>
        <v>0</v>
      </c>
      <c r="E63" s="333">
        <f>+Pkge!I93</f>
        <v>0</v>
      </c>
      <c r="F63" s="461" t="str">
        <f>Pkge!$B97</f>
        <v>VELUM® RISE (8.1 L)</v>
      </c>
      <c r="G63" s="201"/>
      <c r="H63" s="331">
        <f>+Pkge!G97</f>
        <v>0</v>
      </c>
      <c r="I63" s="334">
        <f>+Pkge!I97</f>
        <v>0</v>
      </c>
      <c r="J63" s="454"/>
      <c r="K63" s="419"/>
      <c r="L63" s="419"/>
      <c r="M63" s="419"/>
      <c r="N63" s="453"/>
      <c r="O63" s="419"/>
    </row>
    <row r="64" spans="1:19" ht="15" customHeight="1" x14ac:dyDescent="0.25">
      <c r="A64" s="429"/>
      <c r="B64" s="369" t="str">
        <f>+Pkge!B35</f>
        <v xml:space="preserve">PROLINE® (5.1L) </v>
      </c>
      <c r="C64" s="201"/>
      <c r="D64" s="329">
        <f>+Pkge!G35</f>
        <v>0</v>
      </c>
      <c r="E64" s="333">
        <f>+Pkge!I35</f>
        <v>0</v>
      </c>
      <c r="F64" s="690"/>
      <c r="G64" s="521"/>
      <c r="H64" s="521"/>
      <c r="I64" s="691"/>
      <c r="J64" s="454"/>
      <c r="K64" s="419"/>
      <c r="L64" s="419"/>
      <c r="M64" s="419"/>
      <c r="N64" s="453"/>
      <c r="O64" s="419"/>
    </row>
    <row r="65" spans="1:19" ht="15" customHeight="1" x14ac:dyDescent="0.25">
      <c r="A65" s="429"/>
      <c r="B65" s="369" t="str">
        <f>+Pkge!B36</f>
        <v>PROLINE®  GOLD (10.12 L)</v>
      </c>
      <c r="C65" s="201"/>
      <c r="D65" s="329">
        <f>+Pkge!G36</f>
        <v>0</v>
      </c>
      <c r="E65" s="334">
        <f>+Pkge!I36</f>
        <v>0</v>
      </c>
      <c r="F65" s="474"/>
      <c r="G65" s="469"/>
      <c r="H65" s="469"/>
      <c r="I65" s="475"/>
      <c r="J65" s="454"/>
      <c r="K65" s="419"/>
      <c r="L65" s="419"/>
      <c r="M65" s="419"/>
      <c r="N65" s="453"/>
      <c r="O65" s="419"/>
    </row>
    <row r="66" spans="1:19" ht="15" customHeight="1" x14ac:dyDescent="0.25">
      <c r="A66" s="429"/>
      <c r="B66" s="369" t="str">
        <f>+Pkge!B37</f>
        <v>PROSARO®  PRO (6.07 L)</v>
      </c>
      <c r="C66" s="201"/>
      <c r="D66" s="329">
        <f>+Pkge!G37</f>
        <v>0</v>
      </c>
      <c r="E66" s="332">
        <f>+Pkge!I37</f>
        <v>0</v>
      </c>
      <c r="F66" s="832" t="s">
        <v>100</v>
      </c>
      <c r="G66" s="833"/>
      <c r="H66" s="836">
        <f>+Pkge!I117</f>
        <v>0</v>
      </c>
      <c r="I66" s="837"/>
      <c r="J66" s="419"/>
      <c r="K66" s="419"/>
      <c r="L66" s="419"/>
      <c r="M66" s="419"/>
      <c r="N66" s="453"/>
      <c r="O66" s="419"/>
    </row>
    <row r="67" spans="1:19" ht="15" customHeight="1" x14ac:dyDescent="0.25">
      <c r="A67" s="429"/>
      <c r="B67" s="369" t="str">
        <f>+Pkge!B38</f>
        <v>PROSARO® PRO (97.17 L)</v>
      </c>
      <c r="C67" s="201"/>
      <c r="D67" s="329">
        <f>+Pkge!G38</f>
        <v>0</v>
      </c>
      <c r="E67" s="332">
        <f>+Pkge!I38</f>
        <v>0</v>
      </c>
      <c r="F67" s="834"/>
      <c r="G67" s="835"/>
      <c r="H67" s="714"/>
      <c r="I67" s="838"/>
      <c r="J67" s="419"/>
      <c r="K67" s="419"/>
      <c r="L67" s="419"/>
      <c r="M67" s="419"/>
      <c r="N67" s="453"/>
      <c r="O67" s="419"/>
    </row>
    <row r="68" spans="1:19" ht="6.75" customHeight="1" x14ac:dyDescent="0.25">
      <c r="A68" s="429"/>
      <c r="B68" s="677"/>
      <c r="C68" s="457"/>
      <c r="D68" s="675"/>
      <c r="E68" s="676"/>
      <c r="F68" s="457"/>
      <c r="G68" s="457"/>
      <c r="H68" s="457"/>
      <c r="I68" s="457"/>
      <c r="J68" s="419"/>
      <c r="K68" s="419"/>
      <c r="L68" s="419"/>
      <c r="M68" s="419"/>
      <c r="N68" s="453"/>
      <c r="O68" s="419"/>
    </row>
    <row r="69" spans="1:19" ht="20.100000000000001" customHeight="1" x14ac:dyDescent="0.25">
      <c r="A69" s="429"/>
      <c r="B69" s="454"/>
      <c r="C69" s="419"/>
      <c r="D69" s="419"/>
      <c r="E69" s="419"/>
      <c r="F69" s="839" t="str">
        <f>IF(S$21 = TRUE, U$21, "")</f>
        <v/>
      </c>
      <c r="G69" s="840"/>
      <c r="H69" s="827" t="str">
        <f>IF(S$21= TRUE, IF(M$25&gt;=2,   0.5*Purchases!T$22, IF(C$17 &gt;= 500,    0.5*Purchases!T$22,  0)  ), " ")</f>
        <v xml:space="preserve"> </v>
      </c>
      <c r="I69" s="826"/>
      <c r="J69" s="419"/>
      <c r="K69" s="419"/>
      <c r="L69" s="419"/>
      <c r="M69" s="419"/>
      <c r="N69" s="453"/>
      <c r="O69" s="419"/>
    </row>
    <row r="70" spans="1:19" ht="20.100000000000001" customHeight="1" x14ac:dyDescent="0.25">
      <c r="A70" s="427"/>
      <c r="B70" s="454"/>
      <c r="C70" s="419"/>
      <c r="D70" s="419"/>
      <c r="E70" s="419"/>
      <c r="F70" s="841" t="str">
        <f>+RebateSummary!K62</f>
        <v>Pre-Burn Tank-Mix Bonus</v>
      </c>
      <c r="G70" s="842"/>
      <c r="H70" s="827">
        <f>+RebateSummary!R62</f>
        <v>0</v>
      </c>
      <c r="I70" s="826"/>
      <c r="J70" s="419"/>
      <c r="K70" s="419"/>
      <c r="L70" s="419"/>
      <c r="M70" s="419"/>
      <c r="N70" s="453"/>
      <c r="O70" s="419"/>
    </row>
    <row r="71" spans="1:19" ht="15" customHeight="1" x14ac:dyDescent="0.25">
      <c r="A71" s="427"/>
      <c r="B71" s="454"/>
      <c r="C71" s="419"/>
      <c r="D71" s="419"/>
      <c r="E71" s="419"/>
      <c r="F71" s="678"/>
      <c r="G71" s="678"/>
      <c r="H71" s="419"/>
      <c r="I71" s="419"/>
      <c r="J71" s="419"/>
      <c r="K71" s="419"/>
      <c r="L71" s="419"/>
      <c r="M71" s="419"/>
      <c r="N71" s="453"/>
      <c r="O71" s="419"/>
      <c r="Q71" s="158"/>
      <c r="S71" s="158"/>
    </row>
    <row r="72" spans="1:19" ht="24.95" customHeight="1" x14ac:dyDescent="0.25">
      <c r="A72" s="427"/>
      <c r="B72" s="454"/>
      <c r="C72" s="419"/>
      <c r="D72" s="824" t="str">
        <f>+Q6</f>
        <v>BayerValue™ Rewards</v>
      </c>
      <c r="E72" s="820"/>
      <c r="F72" s="820"/>
      <c r="G72" s="820"/>
      <c r="H72" s="825">
        <f>+RebateSummary!R$64</f>
        <v>0</v>
      </c>
      <c r="I72" s="826"/>
      <c r="J72" s="419"/>
      <c r="K72" s="419"/>
      <c r="L72" s="419"/>
      <c r="M72" s="419"/>
      <c r="N72" s="453"/>
      <c r="O72" s="419"/>
      <c r="Q72" s="158"/>
      <c r="S72" s="158"/>
    </row>
    <row r="73" spans="1:19" ht="24.95" customHeight="1" x14ac:dyDescent="0.25">
      <c r="A73" s="427"/>
      <c r="B73" s="454"/>
      <c r="C73" s="419"/>
      <c r="D73" s="824" t="str">
        <f>+J15</f>
        <v>DEKALB® SUMMER SIZZLER Rebate</v>
      </c>
      <c r="E73" s="820"/>
      <c r="F73" s="820"/>
      <c r="G73" s="820"/>
      <c r="H73" s="825">
        <f>+M$15</f>
        <v>0</v>
      </c>
      <c r="I73" s="826"/>
      <c r="J73" s="419"/>
      <c r="K73" s="419"/>
      <c r="L73" s="419"/>
      <c r="M73" s="419"/>
      <c r="N73" s="453"/>
      <c r="O73" s="419"/>
      <c r="Q73" s="158"/>
      <c r="S73" s="158"/>
    </row>
    <row r="74" spans="1:19" ht="6.75" customHeight="1" x14ac:dyDescent="0.25">
      <c r="A74" s="427"/>
      <c r="B74" s="454"/>
      <c r="C74" s="419"/>
      <c r="J74" s="419"/>
      <c r="K74" s="419"/>
      <c r="L74" s="419"/>
      <c r="M74" s="419"/>
      <c r="N74" s="453"/>
      <c r="O74" s="419"/>
      <c r="Q74" s="158"/>
      <c r="R74" s="158"/>
      <c r="S74" s="158"/>
    </row>
    <row r="75" spans="1:19" ht="15" hidden="1" customHeight="1" x14ac:dyDescent="0.25">
      <c r="A75" s="427"/>
      <c r="B75" s="454"/>
      <c r="C75" s="419"/>
      <c r="D75" s="679"/>
      <c r="E75" s="679"/>
      <c r="F75" s="680"/>
      <c r="G75" s="680"/>
      <c r="H75" s="184"/>
      <c r="I75" s="184"/>
      <c r="J75" s="184"/>
      <c r="K75" s="184"/>
      <c r="L75" s="184"/>
      <c r="M75" s="184"/>
      <c r="N75" s="458"/>
      <c r="O75" s="419"/>
    </row>
    <row r="76" spans="1:19" ht="5.25" customHeight="1" x14ac:dyDescent="0.25">
      <c r="A76" s="427"/>
      <c r="B76" s="455"/>
      <c r="C76" s="456"/>
      <c r="D76" s="681"/>
      <c r="E76" s="681"/>
      <c r="F76" s="469"/>
      <c r="G76" s="469"/>
      <c r="H76" s="469"/>
      <c r="I76" s="469"/>
      <c r="J76" s="469"/>
      <c r="K76" s="469"/>
      <c r="L76" s="469"/>
      <c r="M76" s="469"/>
      <c r="N76" s="475"/>
      <c r="O76" s="419"/>
    </row>
    <row r="77" spans="1:19" ht="30" customHeight="1" x14ac:dyDescent="0.25">
      <c r="A77" s="427"/>
      <c r="B77" s="481"/>
      <c r="C77" s="481"/>
      <c r="D77" s="830" t="str">
        <f>+U5</f>
        <v>Total BayerValue™ Rebate</v>
      </c>
      <c r="E77" s="831"/>
      <c r="F77" s="831"/>
      <c r="G77" s="828">
        <f>IF(H73 = "", H72, H72+H73)</f>
        <v>0</v>
      </c>
      <c r="H77" s="829"/>
      <c r="I77" s="829"/>
      <c r="J77" s="481"/>
      <c r="K77" s="481"/>
      <c r="L77" s="481"/>
      <c r="M77" s="481"/>
      <c r="N77" s="481"/>
      <c r="O77" s="419"/>
    </row>
    <row r="78" spans="1:19" ht="7.5" customHeight="1" x14ac:dyDescent="0.25">
      <c r="A78" s="427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481"/>
      <c r="M78" s="481"/>
      <c r="N78" s="481"/>
      <c r="O78" s="419"/>
    </row>
    <row r="79" spans="1:19" ht="28.5" customHeight="1" x14ac:dyDescent="0.25">
      <c r="A79" s="427"/>
      <c r="B79" s="785"/>
      <c r="C79" s="786"/>
      <c r="D79" s="786"/>
      <c r="E79" s="786"/>
      <c r="F79" s="786"/>
      <c r="G79" s="786"/>
      <c r="H79" s="786"/>
      <c r="I79" s="786"/>
      <c r="J79" s="786"/>
      <c r="K79" s="786"/>
      <c r="L79" s="786"/>
      <c r="M79" s="786"/>
      <c r="N79" s="786"/>
      <c r="O79" s="419"/>
    </row>
    <row r="80" spans="1:19" ht="19.5" customHeight="1" x14ac:dyDescent="0.25">
      <c r="A80" s="427"/>
      <c r="B80" s="427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19"/>
    </row>
    <row r="81" spans="1:14" ht="15" customHeight="1" x14ac:dyDescent="0.5">
      <c r="A81" s="186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</row>
    <row r="82" spans="1:14" ht="15" customHeight="1" x14ac:dyDescent="0.3">
      <c r="B82" s="187"/>
      <c r="C82" s="190"/>
      <c r="D82" s="189"/>
      <c r="E82" s="191"/>
      <c r="F82" s="286" t="s">
        <v>121</v>
      </c>
    </row>
    <row r="83" spans="1:14" x14ac:dyDescent="0.25">
      <c r="F83" s="286" t="s">
        <v>121</v>
      </c>
    </row>
    <row r="103" s="26" customFormat="1" x14ac:dyDescent="0.25"/>
    <row r="104" s="26" customFormat="1" x14ac:dyDescent="0.25"/>
    <row r="105" s="26" customFormat="1" x14ac:dyDescent="0.25"/>
    <row r="106" s="26" customFormat="1" x14ac:dyDescent="0.25"/>
    <row r="107" s="26" customFormat="1" x14ac:dyDescent="0.25"/>
    <row r="108" s="26" customFormat="1" x14ac:dyDescent="0.25"/>
    <row r="109" s="26" customFormat="1" x14ac:dyDescent="0.25"/>
    <row r="110" s="26" customFormat="1" x14ac:dyDescent="0.25"/>
    <row r="111" s="26" customFormat="1" x14ac:dyDescent="0.25"/>
    <row r="112" s="26" customFormat="1" x14ac:dyDescent="0.25"/>
    <row r="113" s="26" customFormat="1" x14ac:dyDescent="0.25"/>
    <row r="114" s="26" customFormat="1" x14ac:dyDescent="0.25"/>
    <row r="115" s="26" customFormat="1" x14ac:dyDescent="0.25"/>
    <row r="116" s="26" customFormat="1" x14ac:dyDescent="0.25"/>
    <row r="117" s="26" customFormat="1" x14ac:dyDescent="0.25"/>
    <row r="118" s="26" customFormat="1" x14ac:dyDescent="0.25"/>
    <row r="119" s="26" customFormat="1" x14ac:dyDescent="0.25"/>
    <row r="120" s="26" customFormat="1" x14ac:dyDescent="0.25"/>
    <row r="121" s="26" customFormat="1" x14ac:dyDescent="0.25"/>
    <row r="122" s="26" customFormat="1" x14ac:dyDescent="0.25"/>
    <row r="123" s="26" customFormat="1" x14ac:dyDescent="0.25"/>
    <row r="124" s="26" customFormat="1" x14ac:dyDescent="0.25"/>
    <row r="125" s="26" customFormat="1" x14ac:dyDescent="0.25"/>
    <row r="126" s="26" customFormat="1" x14ac:dyDescent="0.25"/>
    <row r="127" s="26" customFormat="1" x14ac:dyDescent="0.25"/>
    <row r="128" s="26" customFormat="1" x14ac:dyDescent="0.25"/>
    <row r="129" s="26" customFormat="1" x14ac:dyDescent="0.25"/>
    <row r="130" s="26" customFormat="1" x14ac:dyDescent="0.25"/>
    <row r="131" s="26" customFormat="1" x14ac:dyDescent="0.25"/>
    <row r="132" s="26" customFormat="1" x14ac:dyDescent="0.25"/>
    <row r="133" s="26" customFormat="1" x14ac:dyDescent="0.25"/>
    <row r="134" s="26" customFormat="1" x14ac:dyDescent="0.25"/>
    <row r="135" s="26" customFormat="1" x14ac:dyDescent="0.25"/>
    <row r="136" s="26" customFormat="1" x14ac:dyDescent="0.25"/>
    <row r="137" s="26" customFormat="1" x14ac:dyDescent="0.25"/>
    <row r="138" s="26" customFormat="1" x14ac:dyDescent="0.25"/>
    <row r="139" s="26" customFormat="1" x14ac:dyDescent="0.25"/>
    <row r="140" s="26" customFormat="1" x14ac:dyDescent="0.25"/>
    <row r="141" s="26" customFormat="1" x14ac:dyDescent="0.25"/>
    <row r="142" s="26" customFormat="1" x14ac:dyDescent="0.25"/>
    <row r="143" s="26" customFormat="1" x14ac:dyDescent="0.25"/>
    <row r="144" s="26" customFormat="1" x14ac:dyDescent="0.25"/>
    <row r="145" s="26" customFormat="1" x14ac:dyDescent="0.25"/>
    <row r="146" s="26" customFormat="1" x14ac:dyDescent="0.25"/>
    <row r="147" s="26" customFormat="1" x14ac:dyDescent="0.25"/>
    <row r="148" s="26" customFormat="1" x14ac:dyDescent="0.25"/>
    <row r="149" s="26" customFormat="1" x14ac:dyDescent="0.25"/>
    <row r="150" s="26" customFormat="1" x14ac:dyDescent="0.25"/>
    <row r="151" s="26" customFormat="1" x14ac:dyDescent="0.25"/>
    <row r="152" s="26" customFormat="1" x14ac:dyDescent="0.25"/>
    <row r="153" s="26" customFormat="1" x14ac:dyDescent="0.25"/>
    <row r="154" s="26" customFormat="1" x14ac:dyDescent="0.25"/>
    <row r="155" s="26" customFormat="1" x14ac:dyDescent="0.25"/>
    <row r="156" s="26" customFormat="1" x14ac:dyDescent="0.25"/>
    <row r="157" s="26" customFormat="1" x14ac:dyDescent="0.25"/>
    <row r="158" s="26" customFormat="1" x14ac:dyDescent="0.25"/>
    <row r="159" s="26" customFormat="1" x14ac:dyDescent="0.25"/>
    <row r="160" s="26" customFormat="1" x14ac:dyDescent="0.25"/>
    <row r="161" s="26" customFormat="1" x14ac:dyDescent="0.25"/>
  </sheetData>
  <sheetProtection algorithmName="SHA-512" hashValue="n6vC7zTU/zozIgZiBa4bGBbKmYZjM2KQ9cs9rHgZnCr7agm42FpAyqOnlMdMgyUVua1AGStSGmkWGRIhYCy0qQ==" saltValue="X/gg+7OTw1r9QjakAd/hEA==" spinCount="100000" sheet="1" objects="1" scenarios="1"/>
  <protectedRanges>
    <protectedRange sqref="C6" name="Range1"/>
    <protectedRange sqref="C8" name="Range2"/>
    <protectedRange sqref="C14:C16" name="Range3"/>
    <protectedRange sqref="H15:H16" name="Range4"/>
    <protectedRange sqref="C20:C29" name="Range5"/>
    <protectedRange sqref="G20:G28" name="Range6"/>
    <protectedRange sqref="C31:C54" name="Range7"/>
    <protectedRange sqref="G31:G52" name="Range8"/>
    <protectedRange sqref="C57:C67" name="Range9"/>
    <protectedRange sqref="G57:G63" name="Range10"/>
    <protectedRange sqref="S20:S21" name="Range11"/>
    <protectedRange sqref="S23" name="Range12"/>
  </protectedRanges>
  <dataConsolidate link="1"/>
  <mergeCells count="77">
    <mergeCell ref="G7:J7"/>
    <mergeCell ref="G8:J8"/>
    <mergeCell ref="S10:V11"/>
    <mergeCell ref="I14:I16"/>
    <mergeCell ref="H11:I11"/>
    <mergeCell ref="J11:K11"/>
    <mergeCell ref="L11:M11"/>
    <mergeCell ref="J12:N12"/>
    <mergeCell ref="F14:G15"/>
    <mergeCell ref="S14:V14"/>
    <mergeCell ref="P14:R14"/>
    <mergeCell ref="P15:R15"/>
    <mergeCell ref="F16:G16"/>
    <mergeCell ref="F66:G67"/>
    <mergeCell ref="H66:I67"/>
    <mergeCell ref="F69:G69"/>
    <mergeCell ref="F70:G70"/>
    <mergeCell ref="H70:I70"/>
    <mergeCell ref="D73:G73"/>
    <mergeCell ref="H72:I72"/>
    <mergeCell ref="H73:I73"/>
    <mergeCell ref="H69:I69"/>
    <mergeCell ref="G77:I77"/>
    <mergeCell ref="D77:F77"/>
    <mergeCell ref="I26:I27"/>
    <mergeCell ref="B79:N79"/>
    <mergeCell ref="D2:F2"/>
    <mergeCell ref="D3:F4"/>
    <mergeCell ref="C6:F6"/>
    <mergeCell ref="M2:N2"/>
    <mergeCell ref="M3:N3"/>
    <mergeCell ref="H4:I4"/>
    <mergeCell ref="G5:J6"/>
    <mergeCell ref="J27:L29"/>
    <mergeCell ref="J30:L32"/>
    <mergeCell ref="J33:L34"/>
    <mergeCell ref="D13:E13"/>
    <mergeCell ref="J18:L18"/>
    <mergeCell ref="J15:L15"/>
    <mergeCell ref="D72:G72"/>
    <mergeCell ref="A45:A63"/>
    <mergeCell ref="A22:A41"/>
    <mergeCell ref="G26:G27"/>
    <mergeCell ref="H26:H27"/>
    <mergeCell ref="C8:D8"/>
    <mergeCell ref="B9:D10"/>
    <mergeCell ref="B11:B12"/>
    <mergeCell ref="F11:F12"/>
    <mergeCell ref="D11:E11"/>
    <mergeCell ref="J24:L24"/>
    <mergeCell ref="M20:M21"/>
    <mergeCell ref="N20:N21"/>
    <mergeCell ref="J20:L21"/>
    <mergeCell ref="J14:L14"/>
    <mergeCell ref="J22:L22"/>
    <mergeCell ref="J23:L23"/>
    <mergeCell ref="J35:L35"/>
    <mergeCell ref="M25:M26"/>
    <mergeCell ref="J25:L26"/>
    <mergeCell ref="M27:M29"/>
    <mergeCell ref="N27:N29"/>
    <mergeCell ref="M30:M32"/>
    <mergeCell ref="N30:N32"/>
    <mergeCell ref="M33:M34"/>
    <mergeCell ref="N33:N34"/>
    <mergeCell ref="J44:N47"/>
    <mergeCell ref="J48:N51"/>
    <mergeCell ref="J40:L40"/>
    <mergeCell ref="J41:L42"/>
    <mergeCell ref="M41:M42"/>
    <mergeCell ref="N41:N42"/>
    <mergeCell ref="J36:L37"/>
    <mergeCell ref="J38:L39"/>
    <mergeCell ref="M36:M37"/>
    <mergeCell ref="N36:N37"/>
    <mergeCell ref="M38:M39"/>
    <mergeCell ref="N38:N39"/>
  </mergeCells>
  <phoneticPr fontId="62" type="noConversion"/>
  <dataValidations xWindow="456" yWindow="194" count="7">
    <dataValidation allowBlank="1" showInputMessage="1" showErrorMessage="1" prompt="Enter a clearly defined name" sqref="D7:E7 F9" xr:uid="{00000000-0002-0000-0100-000004000000}"/>
    <dataValidation type="decimal" operator="greaterThanOrEqual" allowBlank="1" showErrorMessage="1" errorTitle="Invalid entry!" error="You must enter a number." sqref="D20 H28:H29" xr:uid="{00000000-0002-0000-0100-000007000000}">
      <formula1>-999999999</formula1>
    </dataValidation>
    <dataValidation allowBlank="1" showErrorMessage="1" sqref="C6:F6" xr:uid="{00000000-0002-0000-0100-000008000000}"/>
    <dataValidation type="decimal" operator="greaterThanOrEqual" allowBlank="1" showErrorMessage="1" error="You must enter a non-negative number." sqref="F71 C20:C29 C57:C67 G20:G29 G31:G52 C31:C54 C14:C16 G57:G63 H15:H16" xr:uid="{F08F838C-5F9E-4553-A2E6-F61BE137B9B7}">
      <formula1>0</formula1>
    </dataValidation>
    <dataValidation type="date" operator="greaterThanOrEqual" allowBlank="1" showInputMessage="1" showErrorMessage="1" error="You must enter a valid date." prompt="Enter a valid date when this form was completed" sqref="M7:N7 C8" xr:uid="{00000000-0002-0000-0100-000001000000}">
      <formula1>336</formula1>
    </dataValidation>
    <dataValidation type="decimal" operator="greaterThanOrEqual" allowBlank="1" showErrorMessage="1" errorTitle="Bayer CropScience" error="You must enter a number." sqref="G71 J72:J73" xr:uid="{046DDB17-55AC-4A11-B2AE-D51438D8E5B1}">
      <formula1>-999999999</formula1>
    </dataValidation>
    <dataValidation operator="greaterThanOrEqual" allowBlank="1" showErrorMessage="1" errorTitle="Bayer CropScience" error="You must enter a number." sqref="F69" xr:uid="{E1129255-D704-48A7-AF18-290E84A43C5D}"/>
  </dataValidations>
  <pageMargins left="0.7" right="0.7" top="0.75" bottom="0.75" header="0.3" footer="0.3"/>
  <pageSetup orientation="landscape" horizontalDpi="4294967293" verticalDpi="300" r:id="rId1"/>
  <headerFooter>
    <oddFooter>&amp;R_x000D_&amp;1#&amp;"Calibri"&amp;22&amp;KFF8939 RESTRICTED</oddFooter>
  </headerFooter>
  <ignoredErrors>
    <ignoredError sqref="U2 U6" unlockedFormula="1"/>
    <ignoredError sqref="C17" formulaRange="1" unlockedFormula="1"/>
    <ignoredError sqref="G77" evalError="1"/>
  </ignoredErrors>
  <drawing r:id="rId2"/>
  <legacyDrawing r:id="rId3"/>
  <controls>
    <mc:AlternateContent xmlns:mc="http://schemas.openxmlformats.org/markup-compatibility/2006">
      <mc:Choice Requires="x14">
        <control shapeId="2177" r:id="rId4" name="optNoFieldView">
          <controlPr defaultSize="0" autoLine="0" altText="Choose this option if you want to enter purchses in 'Acres'" r:id="rId5">
            <anchor moveWithCells="1">
              <from>
                <xdr:col>10</xdr:col>
                <xdr:colOff>819150</xdr:colOff>
                <xdr:row>7</xdr:row>
                <xdr:rowOff>85725</xdr:rowOff>
              </from>
              <to>
                <xdr:col>11</xdr:col>
                <xdr:colOff>523875</xdr:colOff>
                <xdr:row>8</xdr:row>
                <xdr:rowOff>123825</xdr:rowOff>
              </to>
            </anchor>
          </controlPr>
        </control>
      </mc:Choice>
      <mc:Fallback>
        <control shapeId="2177" r:id="rId4" name="optNoFieldView"/>
      </mc:Fallback>
    </mc:AlternateContent>
    <mc:AlternateContent xmlns:mc="http://schemas.openxmlformats.org/markup-compatibility/2006">
      <mc:Choice Requires="x14">
        <control shapeId="2176" r:id="rId6" name="optYesFieldView">
          <controlPr defaultSize="0" autoLine="0" altText="Choose this option if you want to enter purchses in 'Acres'" linkedCell="S21" r:id="rId7">
            <anchor moveWithCells="1">
              <from>
                <xdr:col>10</xdr:col>
                <xdr:colOff>76200</xdr:colOff>
                <xdr:row>7</xdr:row>
                <xdr:rowOff>85725</xdr:rowOff>
              </from>
              <to>
                <xdr:col>10</xdr:col>
                <xdr:colOff>733425</xdr:colOff>
                <xdr:row>8</xdr:row>
                <xdr:rowOff>123825</xdr:rowOff>
              </to>
            </anchor>
          </controlPr>
        </control>
      </mc:Choice>
      <mc:Fallback>
        <control shapeId="2176" r:id="rId6" name="optYesFieldView"/>
      </mc:Fallback>
    </mc:AlternateContent>
    <mc:AlternateContent xmlns:mc="http://schemas.openxmlformats.org/markup-compatibility/2006">
      <mc:Choice Requires="x14">
        <control shapeId="2168" r:id="rId8" name="imgBValueLogo">
          <controlPr defaultSize="0" autoLine="0" r:id="rId9">
            <anchor>
              <from>
                <xdr:col>0</xdr:col>
                <xdr:colOff>47625</xdr:colOff>
                <xdr:row>0</xdr:row>
                <xdr:rowOff>66675</xdr:rowOff>
              </from>
              <to>
                <xdr:col>2</xdr:col>
                <xdr:colOff>171450</xdr:colOff>
                <xdr:row>3</xdr:row>
                <xdr:rowOff>57150</xdr:rowOff>
              </to>
            </anchor>
          </controlPr>
        </control>
      </mc:Choice>
      <mc:Fallback>
        <control shapeId="2168" r:id="rId8" name="imgBValueLogo"/>
      </mc:Fallback>
    </mc:AlternateContent>
    <mc:AlternateContent xmlns:mc="http://schemas.openxmlformats.org/markup-compatibility/2006">
      <mc:Choice Requires="x14">
        <control shapeId="2173" r:id="rId10" name="optionIBOYes">
          <controlPr defaultSize="0" autoLine="0" autoPict="0" altText="Choose this option if you want to enter purchses in 'Acres'" linkedCell="S20" r:id="rId11">
            <anchor moveWithCells="1">
              <from>
                <xdr:col>10</xdr:col>
                <xdr:colOff>76200</xdr:colOff>
                <xdr:row>6</xdr:row>
                <xdr:rowOff>47625</xdr:rowOff>
              </from>
              <to>
                <xdr:col>10</xdr:col>
                <xdr:colOff>733425</xdr:colOff>
                <xdr:row>7</xdr:row>
                <xdr:rowOff>38100</xdr:rowOff>
              </to>
            </anchor>
          </controlPr>
        </control>
      </mc:Choice>
      <mc:Fallback>
        <control shapeId="2173" r:id="rId10" name="optionIBOYes"/>
      </mc:Fallback>
    </mc:AlternateContent>
    <mc:AlternateContent xmlns:mc="http://schemas.openxmlformats.org/markup-compatibility/2006">
      <mc:Choice Requires="x14">
        <control shapeId="2174" r:id="rId12" name="optionIBONo">
          <controlPr defaultSize="0" autoLine="0" altText="Choose this option if you want to enter purchses in 'Acres'" r:id="rId13">
            <anchor moveWithCells="1">
              <from>
                <xdr:col>10</xdr:col>
                <xdr:colOff>819150</xdr:colOff>
                <xdr:row>6</xdr:row>
                <xdr:rowOff>47625</xdr:rowOff>
              </from>
              <to>
                <xdr:col>11</xdr:col>
                <xdr:colOff>523875</xdr:colOff>
                <xdr:row>7</xdr:row>
                <xdr:rowOff>38100</xdr:rowOff>
              </to>
            </anchor>
          </controlPr>
        </control>
      </mc:Choice>
      <mc:Fallback>
        <control shapeId="2174" r:id="rId12" name="optionIBONo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2060"/>
  </sheetPr>
  <dimension ref="B1:S95"/>
  <sheetViews>
    <sheetView showGridLines="0" showRowColHeaders="0" workbookViewId="0">
      <selection activeCell="D5" sqref="D5:G5"/>
    </sheetView>
  </sheetViews>
  <sheetFormatPr defaultRowHeight="15" x14ac:dyDescent="0.25"/>
  <cols>
    <col min="1" max="1" width="2.5703125" customWidth="1"/>
    <col min="2" max="2" width="20.28515625" customWidth="1"/>
    <col min="3" max="3" width="15.140625" style="2" customWidth="1"/>
    <col min="4" max="12" width="13.28515625" customWidth="1"/>
    <col min="13" max="13" width="6.140625" customWidth="1"/>
    <col min="14" max="16" width="13.28515625" customWidth="1"/>
    <col min="17" max="17" width="8.85546875" customWidth="1"/>
    <col min="18" max="18" width="13.28515625" customWidth="1"/>
    <col min="19" max="19" width="1.28515625" customWidth="1"/>
    <col min="20" max="20" width="1.42578125" customWidth="1"/>
  </cols>
  <sheetData>
    <row r="1" spans="2:18" ht="9.75" customHeight="1" x14ac:dyDescent="0.25">
      <c r="O1" t="s">
        <v>411</v>
      </c>
    </row>
    <row r="2" spans="2:18" ht="33" customHeight="1" x14ac:dyDescent="0.25">
      <c r="B2" s="2"/>
      <c r="G2" s="378" t="str">
        <f>+Purchases!D2</f>
        <v>2025 BayerValue™ Rebate Calculator</v>
      </c>
      <c r="H2" s="378"/>
      <c r="I2" s="378"/>
      <c r="J2" s="378"/>
      <c r="K2" s="378"/>
      <c r="L2" s="378"/>
      <c r="N2" s="164"/>
      <c r="O2" s="328"/>
      <c r="P2" s="5"/>
      <c r="Q2" s="3"/>
    </row>
    <row r="3" spans="2:18" ht="17.25" customHeight="1" x14ac:dyDescent="0.25">
      <c r="B3" s="2"/>
      <c r="G3" s="379" t="str">
        <f>+Purchases!D3</f>
        <v>for Western Canada - for Estimate Purposes Only Version 25.10P</v>
      </c>
      <c r="H3" s="379"/>
      <c r="I3" s="379"/>
      <c r="J3" s="379"/>
      <c r="K3" s="379"/>
      <c r="L3" s="379"/>
      <c r="M3" s="5"/>
      <c r="N3" s="5"/>
      <c r="O3" s="328"/>
      <c r="P3" s="5"/>
      <c r="Q3" s="3"/>
    </row>
    <row r="4" spans="2:18" ht="10.5" customHeight="1" x14ac:dyDescent="0.25">
      <c r="B4" s="2"/>
      <c r="E4" s="11"/>
      <c r="F4" s="379"/>
      <c r="G4" s="379"/>
      <c r="H4" s="379"/>
      <c r="I4" s="379"/>
      <c r="J4" s="379"/>
      <c r="K4" s="379"/>
      <c r="L4" s="379"/>
      <c r="M4" s="12"/>
      <c r="N4" s="12"/>
      <c r="P4" s="12"/>
      <c r="Q4" s="12"/>
    </row>
    <row r="5" spans="2:18" ht="15" customHeight="1" x14ac:dyDescent="0.25">
      <c r="B5" s="386" t="str">
        <f>+Purchases!B6</f>
        <v>Name of Grower:</v>
      </c>
      <c r="D5" s="863">
        <f>+Purchases!C6</f>
        <v>0</v>
      </c>
      <c r="E5" s="799"/>
      <c r="F5" s="799"/>
      <c r="G5" s="799"/>
      <c r="I5" s="869" t="str">
        <f>+Purchases!D77</f>
        <v>Total BayerValue™ Rebate</v>
      </c>
      <c r="J5" s="797"/>
      <c r="K5" s="380">
        <f>+Purchases!G77</f>
        <v>0</v>
      </c>
      <c r="L5" s="380"/>
      <c r="N5" s="146"/>
      <c r="Q5" s="146"/>
      <c r="R5" s="156"/>
    </row>
    <row r="6" spans="2:18" ht="9.9499999999999993" customHeight="1" x14ac:dyDescent="0.35">
      <c r="B6" s="165"/>
      <c r="C6" s="168"/>
      <c r="D6" s="166"/>
      <c r="E6" s="166"/>
      <c r="F6" s="166"/>
      <c r="G6" s="167"/>
      <c r="H6" s="164"/>
      <c r="I6" s="26"/>
      <c r="J6" s="164"/>
      <c r="K6" s="165"/>
      <c r="L6" s="165"/>
      <c r="M6" s="146"/>
      <c r="N6" s="146"/>
      <c r="O6" s="169"/>
      <c r="P6" s="146"/>
      <c r="Q6" s="146"/>
      <c r="R6" s="156"/>
    </row>
    <row r="7" spans="2:18" ht="22.7" customHeight="1" x14ac:dyDescent="0.3">
      <c r="B7" s="389" t="str">
        <f>Purchases!Q6</f>
        <v>BayerValue™ Rewards</v>
      </c>
      <c r="C7" s="387"/>
      <c r="D7" s="387"/>
      <c r="E7" s="26"/>
      <c r="F7" s="26"/>
      <c r="H7" s="388" t="str">
        <f>+Purchases!B8</f>
        <v>Date of Calculation:</v>
      </c>
      <c r="I7" s="864">
        <f>+Purchases!C8</f>
        <v>0</v>
      </c>
      <c r="J7" s="865"/>
      <c r="N7" s="26"/>
      <c r="P7" s="26"/>
      <c r="Q7" s="26"/>
      <c r="R7" s="26"/>
    </row>
    <row r="8" spans="2:18" ht="15.75" customHeight="1" x14ac:dyDescent="0.25">
      <c r="B8" s="870" t="s">
        <v>341</v>
      </c>
      <c r="C8" s="542" t="s">
        <v>140</v>
      </c>
      <c r="D8" s="543" t="s">
        <v>2</v>
      </c>
      <c r="E8" s="542" t="s">
        <v>1</v>
      </c>
      <c r="F8" s="877" t="str">
        <f>+RebateSummary!F7</f>
        <v>BayerValue Price</v>
      </c>
      <c r="G8" s="866" t="str">
        <f>+RebateSummary!H7</f>
        <v>Segment Savings</v>
      </c>
      <c r="H8" s="867"/>
      <c r="I8" s="866" t="str">
        <f>+RebateSummary!J7</f>
        <v>Seed Treatment Rewards</v>
      </c>
      <c r="J8" s="867"/>
      <c r="K8" s="866" t="str">
        <f>+RebateSummary!L7</f>
        <v>Trait Rewards</v>
      </c>
      <c r="L8" s="867"/>
      <c r="M8" s="892" t="str">
        <f>+RebateSummary!P7</f>
        <v>Emesto Bonus</v>
      </c>
      <c r="N8" s="893"/>
      <c r="O8" s="892" t="str">
        <f>+RebateSummary!N7</f>
        <v>Incredible Bayer Offer™</v>
      </c>
      <c r="P8" s="893"/>
      <c r="Q8" s="886" t="s">
        <v>51</v>
      </c>
      <c r="R8" s="887"/>
    </row>
    <row r="9" spans="2:18" ht="15.75" customHeight="1" x14ac:dyDescent="0.25">
      <c r="B9" s="871"/>
      <c r="C9" s="408"/>
      <c r="D9" s="410"/>
      <c r="E9" s="408"/>
      <c r="F9" s="878"/>
      <c r="G9" s="381"/>
      <c r="H9" s="384"/>
      <c r="I9" s="381"/>
      <c r="J9" s="384"/>
      <c r="K9" s="381"/>
      <c r="L9" s="384"/>
      <c r="M9" s="382"/>
      <c r="N9" s="383"/>
      <c r="O9" s="382"/>
      <c r="P9" s="383"/>
      <c r="Q9" s="888"/>
      <c r="R9" s="889"/>
    </row>
    <row r="10" spans="2:18" ht="16.5" customHeight="1" thickBot="1" x14ac:dyDescent="0.3">
      <c r="B10" s="872"/>
      <c r="C10" s="409"/>
      <c r="D10" s="411"/>
      <c r="E10" s="409"/>
      <c r="F10" s="879"/>
      <c r="G10" s="197" t="str">
        <f>+RebateSummary!H9</f>
        <v>%</v>
      </c>
      <c r="H10" s="198" t="str">
        <f>+RebateSummary!I9</f>
        <v>Rebate</v>
      </c>
      <c r="I10" s="197" t="str">
        <f>+RebateSummary!J9</f>
        <v>%</v>
      </c>
      <c r="J10" s="198" t="str">
        <f>+RebateSummary!K9</f>
        <v>Rebate</v>
      </c>
      <c r="K10" s="197" t="str">
        <f>+RebateSummary!L9</f>
        <v>%</v>
      </c>
      <c r="L10" s="198" t="str">
        <f>+RebateSummary!M9</f>
        <v>Rebate</v>
      </c>
      <c r="M10" s="197" t="str">
        <f>+RebateSummary!R9</f>
        <v>%</v>
      </c>
      <c r="N10" s="198" t="str">
        <f>+RebateSummary!S9</f>
        <v>Rebate</v>
      </c>
      <c r="O10" s="197" t="str">
        <f>+RebateSummary!N9</f>
        <v>%</v>
      </c>
      <c r="P10" s="198" t="str">
        <f>+RebateSummary!O9</f>
        <v>Rebate</v>
      </c>
      <c r="Q10" s="196" t="str">
        <f>+RebateSummary!R9</f>
        <v>%</v>
      </c>
      <c r="R10" s="544" t="str">
        <f>+RebateSummary!S9</f>
        <v>Rebate</v>
      </c>
    </row>
    <row r="11" spans="2:18" ht="16.5" customHeight="1" x14ac:dyDescent="0.25">
      <c r="B11" s="545" t="str">
        <f>+RebateSummary!$G$10</f>
        <v>Seed Treatment</v>
      </c>
      <c r="C11" s="399"/>
      <c r="D11" s="399"/>
      <c r="E11" s="640"/>
      <c r="F11" s="399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641"/>
      <c r="R11" s="546"/>
    </row>
    <row r="12" spans="2:18" ht="16.5" customHeight="1" x14ac:dyDescent="0.25">
      <c r="B12" s="547" t="str">
        <f>+RebateSummary!G11</f>
        <v>Admire</v>
      </c>
      <c r="C12" s="170" t="str">
        <f>+RebateSummary!C10</f>
        <v>3.785 L</v>
      </c>
      <c r="D12" s="171">
        <f>+RebateSummary!D10</f>
        <v>0</v>
      </c>
      <c r="E12" s="171">
        <f>+RebateSummary!E10</f>
        <v>0</v>
      </c>
      <c r="F12" s="337">
        <f>+RebateSummary!F10</f>
        <v>0</v>
      </c>
      <c r="G12" s="390">
        <f>+RebateSummary!H11</f>
        <v>0</v>
      </c>
      <c r="H12" s="337">
        <f>+RebateSummary!I11</f>
        <v>0</v>
      </c>
      <c r="I12" s="390">
        <f>+RebateSummary!J11</f>
        <v>0</v>
      </c>
      <c r="J12" s="337">
        <f>+RebateSummary!K11</f>
        <v>0</v>
      </c>
      <c r="K12" s="390">
        <f>+RebateSummary!L11</f>
        <v>0</v>
      </c>
      <c r="L12" s="337">
        <f>+RebateSummary!M11</f>
        <v>0</v>
      </c>
      <c r="M12" s="390">
        <f>+RebateSummary!P11</f>
        <v>0</v>
      </c>
      <c r="N12" s="337">
        <f>+RebateSummary!Q11</f>
        <v>0</v>
      </c>
      <c r="O12" s="393" t="s">
        <v>370</v>
      </c>
      <c r="P12" s="393" t="s">
        <v>370</v>
      </c>
      <c r="Q12" s="394">
        <f>+RebateSummary!R11</f>
        <v>0</v>
      </c>
      <c r="R12" s="548">
        <f>+RebateSummary!S11</f>
        <v>0</v>
      </c>
    </row>
    <row r="13" spans="2:18" ht="16.5" customHeight="1" x14ac:dyDescent="0.25">
      <c r="B13" s="547" t="str">
        <f>+RebateSummary!G12</f>
        <v>Emesto Complete</v>
      </c>
      <c r="C13" s="170" t="str">
        <f>+RebateSummary!C50</f>
        <v>2x2.9L+0.7L+0.31L</v>
      </c>
      <c r="D13" s="171">
        <f>+RebateSummary!D50</f>
        <v>0</v>
      </c>
      <c r="E13" s="171">
        <f>+RebateSummary!E50</f>
        <v>0</v>
      </c>
      <c r="F13" s="337">
        <f>+RebateSummary!F50</f>
        <v>0</v>
      </c>
      <c r="G13" s="390">
        <f>+RebateSummary!H12</f>
        <v>0</v>
      </c>
      <c r="H13" s="337">
        <f>+RebateSummary!I12</f>
        <v>0</v>
      </c>
      <c r="I13" s="390">
        <f>+RebateSummary!J12</f>
        <v>0</v>
      </c>
      <c r="J13" s="337">
        <f>+RebateSummary!K12</f>
        <v>0</v>
      </c>
      <c r="K13" s="390">
        <f>+RebateSummary!L12</f>
        <v>0</v>
      </c>
      <c r="L13" s="337">
        <f>+RebateSummary!M12</f>
        <v>0</v>
      </c>
      <c r="M13" s="390">
        <f>+RebateSummary!P12</f>
        <v>0</v>
      </c>
      <c r="N13" s="337">
        <f>+RebateSummary!Q12</f>
        <v>0</v>
      </c>
      <c r="O13" s="393" t="s">
        <v>370</v>
      </c>
      <c r="P13" s="393" t="s">
        <v>370</v>
      </c>
      <c r="Q13" s="394">
        <f>+RebateSummary!R12</f>
        <v>0</v>
      </c>
      <c r="R13" s="548">
        <f>+RebateSummary!S12</f>
        <v>0</v>
      </c>
    </row>
    <row r="14" spans="2:18" ht="16.5" customHeight="1" x14ac:dyDescent="0.25">
      <c r="B14" s="547" t="str">
        <f>+RebateSummary!G13</f>
        <v>Emesto Silver</v>
      </c>
      <c r="C14" s="172" t="str">
        <f>+RebateSummary!C13</f>
        <v>3.85 L</v>
      </c>
      <c r="D14" s="173">
        <f>+RebateSummary!D13</f>
        <v>0</v>
      </c>
      <c r="E14" s="173">
        <f>+RebateSummary!E13</f>
        <v>0</v>
      </c>
      <c r="F14" s="400">
        <f>+RebateSummary!F13</f>
        <v>0</v>
      </c>
      <c r="G14" s="390">
        <f>+RebateSummary!H13</f>
        <v>0</v>
      </c>
      <c r="H14" s="337">
        <f>+RebateSummary!I13</f>
        <v>0</v>
      </c>
      <c r="I14" s="390">
        <f>+RebateSummary!J13</f>
        <v>0</v>
      </c>
      <c r="J14" s="337">
        <f>+RebateSummary!K13</f>
        <v>0</v>
      </c>
      <c r="K14" s="390">
        <f>+RebateSummary!L13</f>
        <v>0</v>
      </c>
      <c r="L14" s="337">
        <f>+RebateSummary!M13</f>
        <v>0</v>
      </c>
      <c r="M14" s="390">
        <f>+RebateSummary!P13</f>
        <v>0</v>
      </c>
      <c r="N14" s="337">
        <f>+RebateSummary!Q13</f>
        <v>0</v>
      </c>
      <c r="O14" s="393" t="s">
        <v>370</v>
      </c>
      <c r="P14" s="393" t="s">
        <v>370</v>
      </c>
      <c r="Q14" s="394">
        <f>+RebateSummary!R13</f>
        <v>0</v>
      </c>
      <c r="R14" s="548">
        <f>+RebateSummary!S13</f>
        <v>0</v>
      </c>
    </row>
    <row r="15" spans="2:18" ht="16.5" customHeight="1" x14ac:dyDescent="0.25">
      <c r="B15" s="547" t="str">
        <f>+RebateSummary!G14</f>
        <v xml:space="preserve">EverGol Energy </v>
      </c>
      <c r="C15" s="170" t="str">
        <f>+RebateSummary!C14</f>
        <v>33.75 L</v>
      </c>
      <c r="D15" s="171">
        <f>+RebateSummary!D14</f>
        <v>0</v>
      </c>
      <c r="E15" s="171">
        <f>+RebateSummary!E14</f>
        <v>0</v>
      </c>
      <c r="F15" s="337">
        <f>+RebateSummary!F14</f>
        <v>0</v>
      </c>
      <c r="G15" s="390">
        <f>+RebateSummary!H14</f>
        <v>0</v>
      </c>
      <c r="H15" s="337">
        <f>+RebateSummary!I14</f>
        <v>0</v>
      </c>
      <c r="I15" s="390">
        <f>+RebateSummary!J14</f>
        <v>0</v>
      </c>
      <c r="J15" s="337">
        <f>+RebateSummary!K14</f>
        <v>0</v>
      </c>
      <c r="K15" s="390">
        <f>+RebateSummary!L14</f>
        <v>0</v>
      </c>
      <c r="L15" s="337">
        <f>+RebateSummary!M14</f>
        <v>0</v>
      </c>
      <c r="M15" s="393" t="s">
        <v>370</v>
      </c>
      <c r="N15" s="392"/>
      <c r="O15" s="390">
        <f>+RebateSummary!N14</f>
        <v>0</v>
      </c>
      <c r="P15" s="337">
        <f>+RebateSummary!O14</f>
        <v>0</v>
      </c>
      <c r="Q15" s="394">
        <f>+RebateSummary!R14</f>
        <v>0</v>
      </c>
      <c r="R15" s="548">
        <f>+RebateSummary!S14</f>
        <v>0</v>
      </c>
    </row>
    <row r="16" spans="2:18" ht="16.5" customHeight="1" x14ac:dyDescent="0.25">
      <c r="B16" s="547" t="str">
        <f>+RebateSummary!G15</f>
        <v>Movento</v>
      </c>
      <c r="C16" s="170" t="str">
        <f>+RebateSummary!C21</f>
        <v>2 L</v>
      </c>
      <c r="D16" s="171">
        <f>+RebateSummary!D21</f>
        <v>0</v>
      </c>
      <c r="E16" s="171">
        <f>+RebateSummary!E21</f>
        <v>0</v>
      </c>
      <c r="F16" s="337">
        <f>+RebateSummary!F21</f>
        <v>0</v>
      </c>
      <c r="G16" s="390">
        <f>+RebateSummary!H15</f>
        <v>0</v>
      </c>
      <c r="H16" s="337">
        <f>+RebateSummary!I15</f>
        <v>0</v>
      </c>
      <c r="I16" s="390">
        <f>+RebateSummary!J15</f>
        <v>0</v>
      </c>
      <c r="J16" s="337">
        <f>+RebateSummary!K15</f>
        <v>0</v>
      </c>
      <c r="K16" s="390">
        <f>+RebateSummary!L15</f>
        <v>0</v>
      </c>
      <c r="L16" s="337">
        <f>+RebateSummary!M15</f>
        <v>0</v>
      </c>
      <c r="M16" s="390">
        <f>+RebateSummary!P15</f>
        <v>0</v>
      </c>
      <c r="N16" s="337">
        <f>+RebateSummary!Q15</f>
        <v>0</v>
      </c>
      <c r="O16" s="393" t="s">
        <v>370</v>
      </c>
      <c r="P16" s="393" t="s">
        <v>370</v>
      </c>
      <c r="Q16" s="394">
        <f>+RebateSummary!R15</f>
        <v>0</v>
      </c>
      <c r="R16" s="548">
        <f>+RebateSummary!S15</f>
        <v>0</v>
      </c>
    </row>
    <row r="17" spans="2:18" ht="16.5" customHeight="1" x14ac:dyDescent="0.25">
      <c r="B17" s="547" t="str">
        <f>+RebateSummary!G16</f>
        <v>Raxil PRO</v>
      </c>
      <c r="C17" s="170" t="str">
        <f>+RebateSummary!C29</f>
        <v>10 L</v>
      </c>
      <c r="D17" s="171">
        <f>+RebateSummary!D29</f>
        <v>0</v>
      </c>
      <c r="E17" s="171">
        <f>+RebateSummary!E29</f>
        <v>0</v>
      </c>
      <c r="F17" s="337">
        <f>+RebateSummary!F29</f>
        <v>0</v>
      </c>
      <c r="G17" s="390">
        <f>+RebateSummary!H16</f>
        <v>0</v>
      </c>
      <c r="H17" s="337">
        <f>+RebateSummary!I16</f>
        <v>0</v>
      </c>
      <c r="I17" s="390">
        <f>+RebateSummary!J16</f>
        <v>0</v>
      </c>
      <c r="J17" s="337">
        <f>+RebateSummary!K16</f>
        <v>0</v>
      </c>
      <c r="K17" s="390">
        <f>+RebateSummary!L16</f>
        <v>0</v>
      </c>
      <c r="L17" s="337">
        <f>+RebateSummary!M16</f>
        <v>0</v>
      </c>
      <c r="M17" s="393" t="s">
        <v>370</v>
      </c>
      <c r="N17" s="392"/>
      <c r="O17" s="390">
        <f>+RebateSummary!N16</f>
        <v>0</v>
      </c>
      <c r="P17" s="337">
        <f>+RebateSummary!O16</f>
        <v>0</v>
      </c>
      <c r="Q17" s="394">
        <f>+RebateSummary!R16</f>
        <v>0</v>
      </c>
      <c r="R17" s="548">
        <f>+RebateSummary!S16</f>
        <v>0</v>
      </c>
    </row>
    <row r="18" spans="2:18" ht="16.5" customHeight="1" x14ac:dyDescent="0.25">
      <c r="B18" s="547" t="str">
        <f>+RebateSummary!G17</f>
        <v>Raxil PRO SHIELD/All-In-One</v>
      </c>
      <c r="C18" s="170" t="str">
        <f>+RebateSummary!C30</f>
        <v>(10L + 1.54L)/10L</v>
      </c>
      <c r="D18" s="171">
        <f>+RebateSummary!D30</f>
        <v>0</v>
      </c>
      <c r="E18" s="171">
        <f>+RebateSummary!E30</f>
        <v>0</v>
      </c>
      <c r="F18" s="337">
        <f>+RebateSummary!F30</f>
        <v>0</v>
      </c>
      <c r="G18" s="390">
        <f>+RebateSummary!H17</f>
        <v>0</v>
      </c>
      <c r="H18" s="337">
        <f>+RebateSummary!I17</f>
        <v>0</v>
      </c>
      <c r="I18" s="390">
        <f>+RebateSummary!J17</f>
        <v>0</v>
      </c>
      <c r="J18" s="337">
        <f>+RebateSummary!K17</f>
        <v>0</v>
      </c>
      <c r="K18" s="390">
        <f>+RebateSummary!L17</f>
        <v>0</v>
      </c>
      <c r="L18" s="337">
        <f>+RebateSummary!M17</f>
        <v>0</v>
      </c>
      <c r="M18" s="393" t="s">
        <v>370</v>
      </c>
      <c r="N18" s="392"/>
      <c r="O18" s="390">
        <f>+RebateSummary!N17</f>
        <v>0</v>
      </c>
      <c r="P18" s="337">
        <f>+RebateSummary!O17</f>
        <v>0</v>
      </c>
      <c r="Q18" s="394">
        <f>+RebateSummary!R17</f>
        <v>0</v>
      </c>
      <c r="R18" s="548">
        <f>+RebateSummary!S17</f>
        <v>0</v>
      </c>
    </row>
    <row r="19" spans="2:18" ht="16.5" customHeight="1" x14ac:dyDescent="0.25">
      <c r="B19" s="547" t="str">
        <f>+RebateSummary!G18</f>
        <v>Sivanto Prime</v>
      </c>
      <c r="C19" s="174" t="str">
        <f>+RebateSummary!C36</f>
        <v>2 L</v>
      </c>
      <c r="D19" s="171">
        <f>+RebateSummary!D36</f>
        <v>0</v>
      </c>
      <c r="E19" s="171">
        <f>+RebateSummary!E36</f>
        <v>0</v>
      </c>
      <c r="F19" s="337">
        <f>+RebateSummary!F36</f>
        <v>0</v>
      </c>
      <c r="G19" s="390">
        <f>+RebateSummary!H18</f>
        <v>0</v>
      </c>
      <c r="H19" s="337">
        <f>+RebateSummary!I18</f>
        <v>0</v>
      </c>
      <c r="I19" s="390">
        <f>+RebateSummary!J18</f>
        <v>0</v>
      </c>
      <c r="J19" s="337">
        <f>+RebateSummary!K18</f>
        <v>0</v>
      </c>
      <c r="K19" s="390">
        <f>+RebateSummary!L18</f>
        <v>0</v>
      </c>
      <c r="L19" s="337">
        <f>+RebateSummary!M18</f>
        <v>0</v>
      </c>
      <c r="M19" s="390">
        <f>+RebateSummary!P18</f>
        <v>0</v>
      </c>
      <c r="N19" s="337">
        <f>+RebateSummary!Q18</f>
        <v>0</v>
      </c>
      <c r="O19" s="393" t="s">
        <v>370</v>
      </c>
      <c r="P19" s="392"/>
      <c r="Q19" s="394">
        <f>+RebateSummary!R18</f>
        <v>0</v>
      </c>
      <c r="R19" s="548">
        <f>+RebateSummary!S18</f>
        <v>0</v>
      </c>
    </row>
    <row r="20" spans="2:18" ht="25.5" customHeight="1" x14ac:dyDescent="0.25">
      <c r="B20" s="549" t="str">
        <f>+RebateSummary!G19</f>
        <v>Stress Shield (matching with Raxil PRO)</v>
      </c>
      <c r="C20" s="335" t="str">
        <f>+RebateSummary!C37</f>
        <v>27 L</v>
      </c>
      <c r="D20" s="336">
        <f>+Pkge!Q114</f>
        <v>0</v>
      </c>
      <c r="E20" s="336">
        <f xml:space="preserve"> IF( RebateSummary!$D37&lt;&gt;0, IF(ISNUMBER(RebateSummary!$F37), (Pkge!$Q114/RebateSummary!$D37) * RebateSummary!$E37),0)</f>
        <v>0</v>
      </c>
      <c r="F20" s="401">
        <f xml:space="preserve"> IF( RebateSummary!$D37 &lt;&gt;0, IF(ISNUMBER(RebateSummary!$F37), (Pkge!$Q114/RebateSummary!$D37) * RebateSummary!$F37),0)</f>
        <v>0</v>
      </c>
      <c r="G20" s="390">
        <f>+RebateSummary!H19</f>
        <v>0</v>
      </c>
      <c r="H20" s="337">
        <f>+RebateSummary!I19</f>
        <v>0</v>
      </c>
      <c r="I20" s="390">
        <f>+RebateSummary!J19</f>
        <v>0</v>
      </c>
      <c r="J20" s="337">
        <f>+RebateSummary!K19</f>
        <v>0</v>
      </c>
      <c r="K20" s="390">
        <f>+RebateSummary!L19</f>
        <v>0</v>
      </c>
      <c r="L20" s="337">
        <f>+RebateSummary!M19</f>
        <v>0</v>
      </c>
      <c r="M20" s="393" t="s">
        <v>370</v>
      </c>
      <c r="N20" s="392"/>
      <c r="O20" s="390">
        <f>+RebateSummary!N19</f>
        <v>0</v>
      </c>
      <c r="P20" s="337">
        <f>+RebateSummary!O19</f>
        <v>0</v>
      </c>
      <c r="Q20" s="394">
        <f>+RebateSummary!R19</f>
        <v>0</v>
      </c>
      <c r="R20" s="550">
        <f>+RebateSummary!S19</f>
        <v>0</v>
      </c>
    </row>
    <row r="21" spans="2:18" ht="30" customHeight="1" x14ac:dyDescent="0.25">
      <c r="B21" s="549" t="str">
        <f>+RebateSummary!G20</f>
        <v>Stress Shield (matching with Trilex EverGol)</v>
      </c>
      <c r="C21" s="335" t="str">
        <f>+RebateSummary!C37</f>
        <v>27 L</v>
      </c>
      <c r="D21" s="336">
        <f>+Pkge!S115</f>
        <v>0</v>
      </c>
      <c r="E21" s="336">
        <f xml:space="preserve"> IF( RebateSummary!$D37 &lt;&gt;0, IF(ISNUMBER(RebateSummary!$F37), (Pkge!$S115/RebateSummary!$D37) * RebateSummary!$E37),0)</f>
        <v>0</v>
      </c>
      <c r="F21" s="401">
        <f xml:space="preserve"> IF( RebateSummary!$D37 &lt;&gt;0, IF(ISNUMBER(RebateSummary!$F37), (Pkge!$S115/RebateSummary!$D37) * RebateSummary!$F37),0)</f>
        <v>0</v>
      </c>
      <c r="G21" s="390">
        <f>+RebateSummary!H20</f>
        <v>0</v>
      </c>
      <c r="H21" s="337">
        <f>+RebateSummary!I20</f>
        <v>0</v>
      </c>
      <c r="I21" s="390">
        <f>+RebateSummary!J20</f>
        <v>0</v>
      </c>
      <c r="J21" s="337">
        <f>+RebateSummary!K20</f>
        <v>0</v>
      </c>
      <c r="K21" s="390">
        <f>+RebateSummary!L20</f>
        <v>0</v>
      </c>
      <c r="L21" s="337">
        <f>+RebateSummary!M20</f>
        <v>0</v>
      </c>
      <c r="M21" s="393" t="s">
        <v>370</v>
      </c>
      <c r="N21" s="392"/>
      <c r="O21" s="390">
        <f>+RebateSummary!N20</f>
        <v>0</v>
      </c>
      <c r="P21" s="337">
        <f>+RebateSummary!O20</f>
        <v>0</v>
      </c>
      <c r="Q21" s="394">
        <f>+RebateSummary!R20</f>
        <v>0</v>
      </c>
      <c r="R21" s="550">
        <f>+RebateSummary!S20</f>
        <v>0</v>
      </c>
    </row>
    <row r="22" spans="2:18" ht="30" customHeight="1" x14ac:dyDescent="0.25">
      <c r="B22" s="549" t="str">
        <f>+RebateSummary!G21</f>
        <v>Stress Shield (matching with EverGol Energy)</v>
      </c>
      <c r="C22" s="335" t="str">
        <f>+RebateSummary!C37</f>
        <v>27 L</v>
      </c>
      <c r="D22" s="336">
        <f>+Pkge!U116</f>
        <v>0</v>
      </c>
      <c r="E22" s="336">
        <f xml:space="preserve"> IF( RebateSummary!$D37 &lt;&gt;0, IF(ISNUMBER(RebateSummary!$F37), (Pkge!$U116/RebateSummary!$D37) * RebateSummary!$E37),0)</f>
        <v>0</v>
      </c>
      <c r="F22" s="401">
        <f xml:space="preserve"> IF( RebateSummary!$D37 &lt;&gt;0, IF(ISNUMBER(RebateSummary!$F37), (Pkge!$U116/RebateSummary!$D37) * RebateSummary!$F37),0)</f>
        <v>0</v>
      </c>
      <c r="G22" s="390">
        <f>+RebateSummary!H21</f>
        <v>0</v>
      </c>
      <c r="H22" s="337">
        <f>+RebateSummary!I21</f>
        <v>0</v>
      </c>
      <c r="I22" s="390">
        <f>+RebateSummary!J21</f>
        <v>0</v>
      </c>
      <c r="J22" s="337">
        <f>+RebateSummary!K21</f>
        <v>0</v>
      </c>
      <c r="K22" s="390">
        <f>+RebateSummary!L21</f>
        <v>0</v>
      </c>
      <c r="L22" s="337">
        <f>+RebateSummary!M21</f>
        <v>0</v>
      </c>
      <c r="M22" s="393" t="s">
        <v>370</v>
      </c>
      <c r="N22" s="392"/>
      <c r="O22" s="390">
        <f>+RebateSummary!N21</f>
        <v>0</v>
      </c>
      <c r="P22" s="337">
        <f>+RebateSummary!O21</f>
        <v>0</v>
      </c>
      <c r="Q22" s="394">
        <f>+RebateSummary!R21</f>
        <v>0</v>
      </c>
      <c r="R22" s="550">
        <f>+RebateSummary!S21</f>
        <v>0</v>
      </c>
    </row>
    <row r="23" spans="2:18" ht="16.5" customHeight="1" x14ac:dyDescent="0.25">
      <c r="B23" s="547" t="str">
        <f>+RebateSummary!G22</f>
        <v>Trilex EverGol</v>
      </c>
      <c r="C23" s="174" t="str">
        <f>+RebateSummary!C40</f>
        <v>(1.5L+0.96L)</v>
      </c>
      <c r="D23" s="171">
        <f>+RebateSummary!D40</f>
        <v>0</v>
      </c>
      <c r="E23" s="171">
        <f>+RebateSummary!E40</f>
        <v>0</v>
      </c>
      <c r="F23" s="337">
        <f>+RebateSummary!F40</f>
        <v>0</v>
      </c>
      <c r="G23" s="390">
        <f>+RebateSummary!H22</f>
        <v>0</v>
      </c>
      <c r="H23" s="337">
        <f>+RebateSummary!I22</f>
        <v>0</v>
      </c>
      <c r="I23" s="390">
        <f>+RebateSummary!J22</f>
        <v>0</v>
      </c>
      <c r="J23" s="337">
        <f>+RebateSummary!K22</f>
        <v>0</v>
      </c>
      <c r="K23" s="390">
        <f>+RebateSummary!L22</f>
        <v>0</v>
      </c>
      <c r="L23" s="337">
        <f>+RebateSummary!M22</f>
        <v>0</v>
      </c>
      <c r="M23" s="393" t="s">
        <v>370</v>
      </c>
      <c r="N23" s="392"/>
      <c r="O23" s="390">
        <f>+RebateSummary!N22</f>
        <v>0</v>
      </c>
      <c r="P23" s="337">
        <f>+RebateSummary!O22</f>
        <v>0</v>
      </c>
      <c r="Q23" s="394">
        <f>+RebateSummary!R22</f>
        <v>0</v>
      </c>
      <c r="R23" s="548">
        <f>+RebateSummary!S22</f>
        <v>0</v>
      </c>
    </row>
    <row r="24" spans="2:18" ht="16.5" customHeight="1" x14ac:dyDescent="0.25">
      <c r="B24" s="547" t="str">
        <f>+RebateSummary!G23</f>
        <v>Trilex EverGol SHIELD</v>
      </c>
      <c r="C24" s="170" t="str">
        <f>+RebateSummary!C41</f>
        <v>(1.5L+0.96L+6.25L)</v>
      </c>
      <c r="D24" s="171">
        <f>+RebateSummary!D41</f>
        <v>0</v>
      </c>
      <c r="E24" s="171">
        <f>+RebateSummary!E41</f>
        <v>0</v>
      </c>
      <c r="F24" s="337">
        <f>+RebateSummary!F41</f>
        <v>0</v>
      </c>
      <c r="G24" s="390">
        <f>+RebateSummary!H23</f>
        <v>0</v>
      </c>
      <c r="H24" s="337">
        <f>+RebateSummary!I23</f>
        <v>0</v>
      </c>
      <c r="I24" s="390">
        <f>+RebateSummary!J23</f>
        <v>0</v>
      </c>
      <c r="J24" s="337">
        <f>+RebateSummary!K23</f>
        <v>0</v>
      </c>
      <c r="K24" s="390">
        <f>+RebateSummary!L23</f>
        <v>0</v>
      </c>
      <c r="L24" s="337">
        <f>+RebateSummary!M23</f>
        <v>0</v>
      </c>
      <c r="M24" s="393" t="s">
        <v>370</v>
      </c>
      <c r="N24" s="392"/>
      <c r="O24" s="390">
        <f>+RebateSummary!N23</f>
        <v>0</v>
      </c>
      <c r="P24" s="337">
        <f>+RebateSummary!O23</f>
        <v>0</v>
      </c>
      <c r="Q24" s="394">
        <f>+RebateSummary!R23</f>
        <v>0</v>
      </c>
      <c r="R24" s="548">
        <f>+RebateSummary!S23</f>
        <v>0</v>
      </c>
    </row>
    <row r="25" spans="2:18" ht="16.5" customHeight="1" x14ac:dyDescent="0.25">
      <c r="B25" s="547" t="str">
        <f>+RebateSummary!G24</f>
        <v>vayego</v>
      </c>
      <c r="C25" s="170" t="str">
        <f>+RebateSummary!C47</f>
        <v>3 L</v>
      </c>
      <c r="D25" s="171">
        <f>+RebateSummary!D47</f>
        <v>0</v>
      </c>
      <c r="E25" s="171">
        <f>+RebateSummary!E47</f>
        <v>0</v>
      </c>
      <c r="F25" s="337">
        <f>+RebateSummary!F47</f>
        <v>0</v>
      </c>
      <c r="G25" s="390">
        <f>+RebateSummary!H24</f>
        <v>0</v>
      </c>
      <c r="H25" s="337">
        <f>+RebateSummary!I24</f>
        <v>0</v>
      </c>
      <c r="I25" s="390">
        <f>+RebateSummary!J24</f>
        <v>0</v>
      </c>
      <c r="J25" s="337">
        <f>+RebateSummary!K24</f>
        <v>0</v>
      </c>
      <c r="K25" s="390">
        <f>+RebateSummary!L24</f>
        <v>0</v>
      </c>
      <c r="L25" s="337">
        <f>+RebateSummary!M24</f>
        <v>0</v>
      </c>
      <c r="M25" s="390">
        <f>+RebateSummary!P24</f>
        <v>0</v>
      </c>
      <c r="N25" s="337">
        <f>+RebateSummary!Q24</f>
        <v>0</v>
      </c>
      <c r="O25" s="393" t="s">
        <v>370</v>
      </c>
      <c r="P25" s="393" t="s">
        <v>370</v>
      </c>
      <c r="Q25" s="394">
        <f>+RebateSummary!R24</f>
        <v>0</v>
      </c>
      <c r="R25" s="548">
        <f>+RebateSummary!S24</f>
        <v>0</v>
      </c>
    </row>
    <row r="26" spans="2:18" ht="16.5" customHeight="1" x14ac:dyDescent="0.25">
      <c r="B26" s="551" t="s">
        <v>54</v>
      </c>
      <c r="C26" s="591"/>
      <c r="D26" s="593"/>
      <c r="E26" s="593"/>
      <c r="F26" s="376"/>
      <c r="G26" s="395"/>
      <c r="H26" s="396"/>
      <c r="I26" s="395"/>
      <c r="J26" s="396"/>
      <c r="K26" s="395"/>
      <c r="L26" s="396"/>
      <c r="M26" s="395"/>
      <c r="N26" s="396"/>
      <c r="O26" s="395"/>
      <c r="P26" s="396"/>
      <c r="Q26" s="375"/>
      <c r="R26" s="552"/>
    </row>
    <row r="27" spans="2:18" ht="16.5" customHeight="1" x14ac:dyDescent="0.25">
      <c r="B27" s="553" t="str">
        <f>+RebateSummary!G27</f>
        <v>Buctril M</v>
      </c>
      <c r="C27" s="175" t="str">
        <f>+RebateSummary!C11</f>
        <v>8 L</v>
      </c>
      <c r="D27" s="176">
        <f>+RebateSummary!D11</f>
        <v>0</v>
      </c>
      <c r="E27" s="176">
        <f>+RebateSummary!E11</f>
        <v>0</v>
      </c>
      <c r="F27" s="652">
        <f>+RebateSummary!F11</f>
        <v>0</v>
      </c>
      <c r="G27" s="393">
        <f>+RebateSummary!H27</f>
        <v>0</v>
      </c>
      <c r="H27" s="393">
        <f>+RebateSummary!I27</f>
        <v>0</v>
      </c>
      <c r="I27" s="393">
        <f>+RebateSummary!J27</f>
        <v>0</v>
      </c>
      <c r="J27" s="393">
        <f>+RebateSummary!K27</f>
        <v>0</v>
      </c>
      <c r="K27" s="393">
        <f>+RebateSummary!L27</f>
        <v>0</v>
      </c>
      <c r="L27" s="393">
        <f>+RebateSummary!M27</f>
        <v>0</v>
      </c>
      <c r="M27" s="393"/>
      <c r="N27" s="392"/>
      <c r="O27" s="390">
        <f>+RebateSummary!N27</f>
        <v>0</v>
      </c>
      <c r="P27" s="337">
        <f>+RebateSummary!O27</f>
        <v>0</v>
      </c>
      <c r="Q27" s="394">
        <f>+RebateSummary!R27</f>
        <v>0</v>
      </c>
      <c r="R27" s="548">
        <f>+RebateSummary!S27</f>
        <v>0</v>
      </c>
    </row>
    <row r="28" spans="2:18" ht="16.5" customHeight="1" x14ac:dyDescent="0.25">
      <c r="B28" s="553" t="str">
        <f>+RebateSummary!G28</f>
        <v>Cirray</v>
      </c>
      <c r="C28" s="175" t="str">
        <f>+RebateSummary!C20</f>
        <v>6.8 L</v>
      </c>
      <c r="D28" s="176">
        <f>+RebateSummary!D20</f>
        <v>0</v>
      </c>
      <c r="E28" s="176">
        <f>+RebateSummary!E20</f>
        <v>0</v>
      </c>
      <c r="F28" s="652">
        <f>+RebateSummary!F20</f>
        <v>0</v>
      </c>
      <c r="G28" s="390">
        <f>+RebateSummary!H28</f>
        <v>0</v>
      </c>
      <c r="H28" s="337">
        <f>+RebateSummary!I28</f>
        <v>0</v>
      </c>
      <c r="I28" s="390">
        <f>+RebateSummary!J28</f>
        <v>0</v>
      </c>
      <c r="J28" s="337">
        <f>+RebateSummary!K28</f>
        <v>0</v>
      </c>
      <c r="K28" s="390">
        <f>+RebateSummary!L28</f>
        <v>0</v>
      </c>
      <c r="L28" s="337">
        <f>+RebateSummary!M28</f>
        <v>0</v>
      </c>
      <c r="M28" s="393"/>
      <c r="N28" s="392"/>
      <c r="O28" s="390">
        <f>+RebateSummary!N28</f>
        <v>0</v>
      </c>
      <c r="P28" s="337">
        <f>+RebateSummary!O28</f>
        <v>0</v>
      </c>
      <c r="Q28" s="394">
        <f>+RebateSummary!R28</f>
        <v>0</v>
      </c>
      <c r="R28" s="548">
        <f>+RebateSummary!S28</f>
        <v>0</v>
      </c>
    </row>
    <row r="29" spans="2:18" ht="16.5" customHeight="1" x14ac:dyDescent="0.25">
      <c r="B29" s="553" t="str">
        <f>+RebateSummary!G29</f>
        <v>Huskie Pre</v>
      </c>
      <c r="C29" s="175" t="str">
        <f>+RebateSummary!C53</f>
        <v>8.1 L</v>
      </c>
      <c r="D29" s="176">
        <f>+RebateSummary!D53</f>
        <v>0</v>
      </c>
      <c r="E29" s="176">
        <f>+RebateSummary!E53</f>
        <v>0</v>
      </c>
      <c r="F29" s="652">
        <f>+RebateSummary!F53</f>
        <v>0</v>
      </c>
      <c r="G29" s="390">
        <f>+RebateSummary!H29</f>
        <v>0</v>
      </c>
      <c r="H29" s="337">
        <f>+RebateSummary!I29</f>
        <v>0</v>
      </c>
      <c r="I29" s="390">
        <f>+RebateSummary!J29</f>
        <v>0</v>
      </c>
      <c r="J29" s="337">
        <f>+RebateSummary!K29</f>
        <v>0</v>
      </c>
      <c r="K29" s="390">
        <f>+RebateSummary!L29</f>
        <v>0</v>
      </c>
      <c r="L29" s="337">
        <f>+RebateSummary!M29</f>
        <v>0</v>
      </c>
      <c r="M29" s="393"/>
      <c r="N29" s="392"/>
      <c r="O29" s="390">
        <f>+RebateSummary!N29</f>
        <v>0</v>
      </c>
      <c r="P29" s="337">
        <f>+RebateSummary!O29</f>
        <v>0</v>
      </c>
      <c r="Q29" s="394">
        <f>+RebateSummary!R29</f>
        <v>0</v>
      </c>
      <c r="R29" s="548">
        <f>+RebateSummary!S29</f>
        <v>0</v>
      </c>
    </row>
    <row r="30" spans="2:18" ht="16.5" customHeight="1" x14ac:dyDescent="0.25">
      <c r="B30" s="553" t="str">
        <f>+RebateSummary!G30</f>
        <v>Infinity</v>
      </c>
      <c r="C30" s="175" t="str">
        <f>+RebateSummary!C16</f>
        <v>6.7 L</v>
      </c>
      <c r="D30" s="176">
        <f>+RebateSummary!D16</f>
        <v>0</v>
      </c>
      <c r="E30" s="176">
        <f>+RebateSummary!E16</f>
        <v>0</v>
      </c>
      <c r="F30" s="652">
        <f>+RebateSummary!F16</f>
        <v>0</v>
      </c>
      <c r="G30" s="390">
        <f>+RebateSummary!H30</f>
        <v>0</v>
      </c>
      <c r="H30" s="337">
        <f>+RebateSummary!I30</f>
        <v>0</v>
      </c>
      <c r="I30" s="390">
        <f>+RebateSummary!J30</f>
        <v>0</v>
      </c>
      <c r="J30" s="337">
        <f>+RebateSummary!K30</f>
        <v>0</v>
      </c>
      <c r="K30" s="390">
        <f>+RebateSummary!L30</f>
        <v>0</v>
      </c>
      <c r="L30" s="337">
        <f>+RebateSummary!M30</f>
        <v>0</v>
      </c>
      <c r="M30" s="392"/>
      <c r="N30" s="392"/>
      <c r="O30" s="390">
        <f>+RebateSummary!N30</f>
        <v>0</v>
      </c>
      <c r="P30" s="337">
        <f>+RebateSummary!O30</f>
        <v>0</v>
      </c>
      <c r="Q30" s="394">
        <f>+RebateSummary!R30</f>
        <v>0</v>
      </c>
      <c r="R30" s="548">
        <f>+RebateSummary!S30</f>
        <v>0</v>
      </c>
    </row>
    <row r="31" spans="2:18" ht="16.5" customHeight="1" x14ac:dyDescent="0.25">
      <c r="B31" s="553" t="str">
        <f>+RebateSummary!G31</f>
        <v xml:space="preserve">Infinity FX </v>
      </c>
      <c r="C31" s="175" t="str">
        <f>+RebateSummary!C17</f>
        <v>8.1 L</v>
      </c>
      <c r="D31" s="176">
        <f>+RebateSummary!D17</f>
        <v>0</v>
      </c>
      <c r="E31" s="176">
        <f>+RebateSummary!E17</f>
        <v>0</v>
      </c>
      <c r="F31" s="652">
        <f>+RebateSummary!F17</f>
        <v>0</v>
      </c>
      <c r="G31" s="390">
        <f>+RebateSummary!H31</f>
        <v>0</v>
      </c>
      <c r="H31" s="337">
        <f>+RebateSummary!I31</f>
        <v>0</v>
      </c>
      <c r="I31" s="390">
        <f>+RebateSummary!J31</f>
        <v>0</v>
      </c>
      <c r="J31" s="337">
        <f>+RebateSummary!K31</f>
        <v>0</v>
      </c>
      <c r="K31" s="390">
        <f>+RebateSummary!L31</f>
        <v>0</v>
      </c>
      <c r="L31" s="337">
        <f>+RebateSummary!M31</f>
        <v>0</v>
      </c>
      <c r="M31" s="392"/>
      <c r="N31" s="392"/>
      <c r="O31" s="390">
        <f>+RebateSummary!N31</f>
        <v>0</v>
      </c>
      <c r="P31" s="337">
        <f>+RebateSummary!O31</f>
        <v>0</v>
      </c>
      <c r="Q31" s="394">
        <f>+RebateSummary!R31</f>
        <v>0</v>
      </c>
      <c r="R31" s="548">
        <f>+RebateSummary!S31</f>
        <v>0</v>
      </c>
    </row>
    <row r="32" spans="2:18" ht="16.5" customHeight="1" x14ac:dyDescent="0.25">
      <c r="B32" s="553" t="str">
        <f>+RebateSummary!G32</f>
        <v>Laudis</v>
      </c>
      <c r="C32" s="175" t="str">
        <f>+RebateSummary!C18</f>
        <v>3.6 L</v>
      </c>
      <c r="D32" s="176">
        <f>+RebateSummary!D18</f>
        <v>0</v>
      </c>
      <c r="E32" s="176">
        <f>+RebateSummary!E18</f>
        <v>0</v>
      </c>
      <c r="F32" s="652">
        <f>+RebateSummary!F18</f>
        <v>0</v>
      </c>
      <c r="G32" s="390">
        <f>+RebateSummary!H32</f>
        <v>0</v>
      </c>
      <c r="H32" s="337">
        <f>+RebateSummary!I32</f>
        <v>0</v>
      </c>
      <c r="I32" s="390">
        <f>+RebateSummary!J32</f>
        <v>0</v>
      </c>
      <c r="J32" s="337">
        <f>+RebateSummary!K32</f>
        <v>0</v>
      </c>
      <c r="K32" s="390">
        <f>+RebateSummary!L32</f>
        <v>0</v>
      </c>
      <c r="L32" s="337">
        <f>+RebateSummary!M32</f>
        <v>0</v>
      </c>
      <c r="M32" s="392"/>
      <c r="N32" s="392"/>
      <c r="O32" s="390">
        <f>+RebateSummary!N32</f>
        <v>0</v>
      </c>
      <c r="P32" s="337">
        <f>+RebateSummary!O32</f>
        <v>0</v>
      </c>
      <c r="Q32" s="394">
        <f>+RebateSummary!R32</f>
        <v>0</v>
      </c>
      <c r="R32" s="548">
        <f>+RebateSummary!S32</f>
        <v>0</v>
      </c>
    </row>
    <row r="33" spans="2:18" ht="16.5" customHeight="1" x14ac:dyDescent="0.25">
      <c r="B33" s="553" t="str">
        <f>+RebateSummary!G33</f>
        <v>Olympus</v>
      </c>
      <c r="C33" s="175" t="str">
        <f>+RebateSummary!C23</f>
        <v>463 G</v>
      </c>
      <c r="D33" s="176">
        <f>+RebateSummary!D23</f>
        <v>0</v>
      </c>
      <c r="E33" s="176">
        <f>+RebateSummary!E23</f>
        <v>0</v>
      </c>
      <c r="F33" s="652">
        <f>+RebateSummary!F23</f>
        <v>0</v>
      </c>
      <c r="G33" s="390">
        <f>+RebateSummary!H33</f>
        <v>0</v>
      </c>
      <c r="H33" s="337">
        <f>+RebateSummary!I33</f>
        <v>0</v>
      </c>
      <c r="I33" s="390">
        <f>+RebateSummary!J33</f>
        <v>0</v>
      </c>
      <c r="J33" s="337">
        <f>+RebateSummary!K33</f>
        <v>0</v>
      </c>
      <c r="K33" s="390">
        <f>+RebateSummary!L33</f>
        <v>0</v>
      </c>
      <c r="L33" s="337">
        <f>+RebateSummary!M33</f>
        <v>0</v>
      </c>
      <c r="M33" s="392"/>
      <c r="N33" s="392"/>
      <c r="O33" s="390">
        <f>+RebateSummary!N33</f>
        <v>0</v>
      </c>
      <c r="P33" s="337">
        <f>+RebateSummary!O33</f>
        <v>0</v>
      </c>
      <c r="Q33" s="394">
        <f>+RebateSummary!R33</f>
        <v>0</v>
      </c>
      <c r="R33" s="548">
        <f>+RebateSummary!S33</f>
        <v>0</v>
      </c>
    </row>
    <row r="34" spans="2:18" ht="16.5" hidden="1" customHeight="1" x14ac:dyDescent="0.25">
      <c r="B34" s="553" t="str">
        <f>+RebateSummary!G34</f>
        <v>Pardner</v>
      </c>
      <c r="C34" s="175" t="str">
        <f>+RebateSummary!C22</f>
        <v>8 L</v>
      </c>
      <c r="D34" s="176">
        <f>+RebateSummary!D22</f>
        <v>0</v>
      </c>
      <c r="E34" s="176">
        <f>+RebateSummary!E22</f>
        <v>0</v>
      </c>
      <c r="F34" s="652">
        <f>+RebateSummary!F22</f>
        <v>0</v>
      </c>
      <c r="G34" s="390">
        <f>+RebateSummary!H34</f>
        <v>0</v>
      </c>
      <c r="H34" s="337">
        <f>+RebateSummary!I34</f>
        <v>0</v>
      </c>
      <c r="I34" s="390">
        <f>+RebateSummary!J34</f>
        <v>0</v>
      </c>
      <c r="J34" s="337">
        <f>+RebateSummary!K34</f>
        <v>0</v>
      </c>
      <c r="K34" s="390">
        <f>+RebateSummary!L34</f>
        <v>0</v>
      </c>
      <c r="L34" s="337">
        <f>+RebateSummary!M34</f>
        <v>0</v>
      </c>
      <c r="M34" s="392"/>
      <c r="N34" s="392"/>
      <c r="O34" s="392"/>
      <c r="P34" s="392"/>
      <c r="Q34" s="394">
        <f>+RebateSummary!R34</f>
        <v>0</v>
      </c>
      <c r="R34" s="548">
        <f>+RebateSummary!S34</f>
        <v>0</v>
      </c>
    </row>
    <row r="35" spans="2:18" ht="16.5" customHeight="1" x14ac:dyDescent="0.25">
      <c r="B35" s="553" t="str">
        <f>+RebateSummary!G35</f>
        <v>Roundup Xtend/Xtend 2</v>
      </c>
      <c r="C35" s="175" t="str">
        <f>+RebateSummary!C31</f>
        <v>10 L</v>
      </c>
      <c r="D35" s="176">
        <f>+RebateSummary!D31</f>
        <v>0</v>
      </c>
      <c r="E35" s="176">
        <f>+RebateSummary!E31</f>
        <v>0</v>
      </c>
      <c r="F35" s="652">
        <f>+RebateSummary!F31</f>
        <v>0</v>
      </c>
      <c r="G35" s="390">
        <f>+RebateSummary!H35</f>
        <v>0</v>
      </c>
      <c r="H35" s="337">
        <f>+RebateSummary!I35</f>
        <v>0</v>
      </c>
      <c r="I35" s="390">
        <f>+RebateSummary!J35</f>
        <v>0</v>
      </c>
      <c r="J35" s="337">
        <f>+RebateSummary!K35</f>
        <v>0</v>
      </c>
      <c r="K35" s="390">
        <f>+RebateSummary!L35</f>
        <v>0</v>
      </c>
      <c r="L35" s="337">
        <f>+RebateSummary!M35</f>
        <v>0</v>
      </c>
      <c r="M35" s="392"/>
      <c r="N35" s="392"/>
      <c r="O35" s="390">
        <f>+RebateSummary!N35</f>
        <v>0</v>
      </c>
      <c r="P35" s="337">
        <f>+RebateSummary!O35</f>
        <v>0</v>
      </c>
      <c r="Q35" s="394">
        <f>+RebateSummary!R35</f>
        <v>0</v>
      </c>
      <c r="R35" s="548">
        <f>+RebateSummary!S35</f>
        <v>0</v>
      </c>
    </row>
    <row r="36" spans="2:18" ht="16.5" customHeight="1" x14ac:dyDescent="0.25">
      <c r="B36" s="553" t="str">
        <f>+RebateSummary!G36</f>
        <v>Tundra</v>
      </c>
      <c r="C36" s="175" t="str">
        <f>+RebateSummary!C42</f>
        <v>8.1 L</v>
      </c>
      <c r="D36" s="176">
        <f>+RebateSummary!D42</f>
        <v>0</v>
      </c>
      <c r="E36" s="176">
        <f>+RebateSummary!E42</f>
        <v>0</v>
      </c>
      <c r="F36" s="652">
        <f>+RebateSummary!F42</f>
        <v>0</v>
      </c>
      <c r="G36" s="390">
        <f>+RebateSummary!H36</f>
        <v>0</v>
      </c>
      <c r="H36" s="337">
        <f>+RebateSummary!I36</f>
        <v>0</v>
      </c>
      <c r="I36" s="390">
        <f>+RebateSummary!J36</f>
        <v>0</v>
      </c>
      <c r="J36" s="337">
        <f>+RebateSummary!K36</f>
        <v>0</v>
      </c>
      <c r="K36" s="390">
        <f>+RebateSummary!L36</f>
        <v>0</v>
      </c>
      <c r="L36" s="337">
        <f>+RebateSummary!M36</f>
        <v>0</v>
      </c>
      <c r="M36" s="392"/>
      <c r="N36" s="392"/>
      <c r="O36" s="390">
        <f>+RebateSummary!N36</f>
        <v>0</v>
      </c>
      <c r="P36" s="337">
        <f>+RebateSummary!O36</f>
        <v>0</v>
      </c>
      <c r="Q36" s="394">
        <f>+RebateSummary!R36</f>
        <v>0</v>
      </c>
      <c r="R36" s="548">
        <f>+RebateSummary!S36</f>
        <v>0</v>
      </c>
    </row>
    <row r="37" spans="2:18" ht="16.5" customHeight="1" x14ac:dyDescent="0.25">
      <c r="B37" s="553" t="str">
        <f>+RebateSummary!G37</f>
        <v>Varro</v>
      </c>
      <c r="C37" s="175" t="str">
        <f>+RebateSummary!C43</f>
        <v>8 L</v>
      </c>
      <c r="D37" s="176">
        <f>+RebateSummary!D43</f>
        <v>0</v>
      </c>
      <c r="E37" s="176">
        <f>+RebateSummary!E43</f>
        <v>0</v>
      </c>
      <c r="F37" s="652">
        <f>+RebateSummary!F43</f>
        <v>0</v>
      </c>
      <c r="G37" s="390">
        <f>+RebateSummary!H37</f>
        <v>0</v>
      </c>
      <c r="H37" s="337">
        <f>+RebateSummary!I37</f>
        <v>0</v>
      </c>
      <c r="I37" s="390">
        <f>+RebateSummary!J37</f>
        <v>0</v>
      </c>
      <c r="J37" s="337">
        <f>+RebateSummary!K37</f>
        <v>0</v>
      </c>
      <c r="K37" s="390">
        <f>+RebateSummary!L37</f>
        <v>0</v>
      </c>
      <c r="L37" s="337">
        <f>+RebateSummary!M37</f>
        <v>0</v>
      </c>
      <c r="M37" s="392"/>
      <c r="N37" s="392"/>
      <c r="O37" s="390">
        <f>+RebateSummary!N37</f>
        <v>0</v>
      </c>
      <c r="P37" s="337">
        <f>+RebateSummary!O37</f>
        <v>0</v>
      </c>
      <c r="Q37" s="394">
        <f>+RebateSummary!R37</f>
        <v>0</v>
      </c>
      <c r="R37" s="548">
        <f>+RebateSummary!S37</f>
        <v>0</v>
      </c>
    </row>
    <row r="38" spans="2:18" ht="16.5" customHeight="1" x14ac:dyDescent="0.25">
      <c r="B38" s="553" t="str">
        <f>+RebateSummary!G38</f>
        <v>Varro FX</v>
      </c>
      <c r="C38" s="175" t="str">
        <f>+RebateSummary!C51</f>
        <v>8 L</v>
      </c>
      <c r="D38" s="176">
        <f>+RebateSummary!D51</f>
        <v>0</v>
      </c>
      <c r="E38" s="176">
        <f>+RebateSummary!E51</f>
        <v>0</v>
      </c>
      <c r="F38" s="652">
        <f>+RebateSummary!F51</f>
        <v>0</v>
      </c>
      <c r="G38" s="390">
        <f>+RebateSummary!H38</f>
        <v>0</v>
      </c>
      <c r="H38" s="337">
        <f>+RebateSummary!I38</f>
        <v>0</v>
      </c>
      <c r="I38" s="390">
        <f>+RebateSummary!J38</f>
        <v>0</v>
      </c>
      <c r="J38" s="337">
        <f>+RebateSummary!K38</f>
        <v>0</v>
      </c>
      <c r="K38" s="390">
        <f>+RebateSummary!L38</f>
        <v>0</v>
      </c>
      <c r="L38" s="337">
        <f>+RebateSummary!M38</f>
        <v>0</v>
      </c>
      <c r="M38" s="392"/>
      <c r="N38" s="392"/>
      <c r="O38" s="390">
        <f>+RebateSummary!N38</f>
        <v>0</v>
      </c>
      <c r="P38" s="337">
        <f>+RebateSummary!O38</f>
        <v>0</v>
      </c>
      <c r="Q38" s="394">
        <f>+RebateSummary!R38</f>
        <v>0</v>
      </c>
      <c r="R38" s="548">
        <f>+RebateSummary!S38</f>
        <v>0</v>
      </c>
    </row>
    <row r="39" spans="2:18" ht="16.5" customHeight="1" x14ac:dyDescent="0.25">
      <c r="B39" s="553" t="str">
        <f>+RebateSummary!G39</f>
        <v>Velocity M3</v>
      </c>
      <c r="C39" s="175" t="str">
        <f>+RebateSummary!C44</f>
        <v>8.1 L</v>
      </c>
      <c r="D39" s="176">
        <f>+RebateSummary!D44</f>
        <v>0</v>
      </c>
      <c r="E39" s="176">
        <f>+RebateSummary!E44</f>
        <v>0</v>
      </c>
      <c r="F39" s="652">
        <f>+RebateSummary!F44</f>
        <v>0</v>
      </c>
      <c r="G39" s="390">
        <f>+RebateSummary!H39</f>
        <v>0</v>
      </c>
      <c r="H39" s="337">
        <f>+RebateSummary!I39</f>
        <v>0</v>
      </c>
      <c r="I39" s="390">
        <f>+RebateSummary!J39</f>
        <v>0</v>
      </c>
      <c r="J39" s="337">
        <f>+RebateSummary!K39</f>
        <v>0</v>
      </c>
      <c r="K39" s="390">
        <f>+RebateSummary!L39</f>
        <v>0</v>
      </c>
      <c r="L39" s="337">
        <f>+RebateSummary!M39</f>
        <v>0</v>
      </c>
      <c r="M39" s="392"/>
      <c r="N39" s="392"/>
      <c r="O39" s="390">
        <f>+RebateSummary!N39</f>
        <v>0</v>
      </c>
      <c r="P39" s="337">
        <f>+RebateSummary!O39</f>
        <v>0</v>
      </c>
      <c r="Q39" s="394">
        <f>+RebateSummary!R39</f>
        <v>0</v>
      </c>
      <c r="R39" s="548">
        <f>+RebateSummary!S39</f>
        <v>0</v>
      </c>
    </row>
    <row r="40" spans="2:18" ht="16.5" customHeight="1" x14ac:dyDescent="0.25">
      <c r="B40" s="553" t="str">
        <f>+RebateSummary!G40</f>
        <v>XtendiMax/XtendiMax 2</v>
      </c>
      <c r="C40" s="175" t="str">
        <f>+RebateSummary!C46</f>
        <v>10 L</v>
      </c>
      <c r="D40" s="176">
        <f>+RebateSummary!D46</f>
        <v>0</v>
      </c>
      <c r="E40" s="176">
        <f>+RebateSummary!E46</f>
        <v>0</v>
      </c>
      <c r="F40" s="652">
        <f>+RebateSummary!F46</f>
        <v>0</v>
      </c>
      <c r="G40" s="390">
        <f>+RebateSummary!H40</f>
        <v>0</v>
      </c>
      <c r="H40" s="337">
        <f>+RebateSummary!I40</f>
        <v>0</v>
      </c>
      <c r="I40" s="390">
        <f>+RebateSummary!J40</f>
        <v>0</v>
      </c>
      <c r="J40" s="337">
        <f>+RebateSummary!K40</f>
        <v>0</v>
      </c>
      <c r="K40" s="390">
        <f>+RebateSummary!L40</f>
        <v>0</v>
      </c>
      <c r="L40" s="337">
        <f>+RebateSummary!M40</f>
        <v>0</v>
      </c>
      <c r="M40" s="392"/>
      <c r="N40" s="392"/>
      <c r="O40" s="390">
        <f>+RebateSummary!N40</f>
        <v>0</v>
      </c>
      <c r="P40" s="337">
        <f>+RebateSummary!O40</f>
        <v>0</v>
      </c>
      <c r="Q40" s="394">
        <f>+RebateSummary!R40</f>
        <v>0</v>
      </c>
      <c r="R40" s="548">
        <f>+RebateSummary!S40</f>
        <v>0</v>
      </c>
    </row>
    <row r="41" spans="2:18" ht="16.5" customHeight="1" x14ac:dyDescent="0.25">
      <c r="B41" s="551" t="str">
        <f>+RebateSummary!G42</f>
        <v>Fungicide</v>
      </c>
      <c r="C41" s="591"/>
      <c r="D41" s="593"/>
      <c r="E41" s="593"/>
      <c r="F41" s="376"/>
      <c r="G41" s="395"/>
      <c r="H41" s="396"/>
      <c r="I41" s="395"/>
      <c r="J41" s="396"/>
      <c r="K41" s="395"/>
      <c r="L41" s="396"/>
      <c r="M41" s="395"/>
      <c r="N41" s="396"/>
      <c r="O41" s="397"/>
      <c r="P41" s="396"/>
      <c r="Q41" s="375"/>
      <c r="R41" s="552"/>
    </row>
    <row r="42" spans="2:18" ht="16.5" customHeight="1" x14ac:dyDescent="0.25">
      <c r="B42" s="553" t="str">
        <f>+RebateSummary!G43</f>
        <v>Delaro</v>
      </c>
      <c r="C42" s="175" t="str">
        <f>+RebateSummary!C12</f>
        <v>7.1 L</v>
      </c>
      <c r="D42" s="412">
        <f>+RebateSummary!D12</f>
        <v>0</v>
      </c>
      <c r="E42" s="176">
        <f>+RebateSummary!E12</f>
        <v>0</v>
      </c>
      <c r="F42" s="652">
        <f>+RebateSummary!F12</f>
        <v>0</v>
      </c>
      <c r="G42" s="390">
        <f>+RebateSummary!H43</f>
        <v>0</v>
      </c>
      <c r="H42" s="391">
        <f>+RebateSummary!I43</f>
        <v>0</v>
      </c>
      <c r="I42" s="390">
        <f>+RebateSummary!J43</f>
        <v>0</v>
      </c>
      <c r="J42" s="391">
        <f>+RebateSummary!K43</f>
        <v>0</v>
      </c>
      <c r="K42" s="390">
        <f>+RebateSummary!L43</f>
        <v>0</v>
      </c>
      <c r="L42" s="391">
        <f>+RebateSummary!M43</f>
        <v>0</v>
      </c>
      <c r="M42" s="392"/>
      <c r="N42" s="398"/>
      <c r="O42" s="392"/>
      <c r="P42" s="398"/>
      <c r="Q42" s="394">
        <f>+RebateSummary!R43</f>
        <v>0</v>
      </c>
      <c r="R42" s="548">
        <f>+RebateSummary!S43</f>
        <v>0</v>
      </c>
    </row>
    <row r="43" spans="2:18" ht="16.5" customHeight="1" x14ac:dyDescent="0.25">
      <c r="B43" s="553" t="str">
        <f>+RebateSummary!G44</f>
        <v>Delaro Complete</v>
      </c>
      <c r="C43" s="175" t="str">
        <f>+RebateSummary!C49</f>
        <v>7.1 L</v>
      </c>
      <c r="D43" s="412">
        <f>+RebateSummary!D49</f>
        <v>0</v>
      </c>
      <c r="E43" s="176">
        <f>+RebateSummary!E49</f>
        <v>0</v>
      </c>
      <c r="F43" s="652">
        <f>+RebateSummary!F49</f>
        <v>0</v>
      </c>
      <c r="G43" s="390">
        <f>+RebateSummary!H44</f>
        <v>0</v>
      </c>
      <c r="H43" s="391">
        <f>+RebateSummary!I44</f>
        <v>0</v>
      </c>
      <c r="I43" s="390">
        <f>+RebateSummary!J44</f>
        <v>0</v>
      </c>
      <c r="J43" s="391">
        <f>+RebateSummary!K44</f>
        <v>0</v>
      </c>
      <c r="K43" s="390">
        <f>+RebateSummary!L44</f>
        <v>0</v>
      </c>
      <c r="L43" s="391">
        <f>+RebateSummary!M44</f>
        <v>0</v>
      </c>
      <c r="M43" s="392"/>
      <c r="N43" s="398"/>
      <c r="O43" s="392"/>
      <c r="P43" s="398"/>
      <c r="Q43" s="394">
        <f>+RebateSummary!R44</f>
        <v>0</v>
      </c>
      <c r="R43" s="548">
        <f>+RebateSummary!S44</f>
        <v>0</v>
      </c>
    </row>
    <row r="44" spans="2:18" ht="16.5" customHeight="1" x14ac:dyDescent="0.25">
      <c r="B44" s="547" t="str">
        <f>+RebateSummary!G46</f>
        <v>Luna Tranquility</v>
      </c>
      <c r="C44" s="175" t="str">
        <f>+RebateSummary!C19</f>
        <v>2 L</v>
      </c>
      <c r="D44" s="412">
        <f>+RebateSummary!D19</f>
        <v>0</v>
      </c>
      <c r="E44" s="176">
        <f>+RebateSummary!E19</f>
        <v>0</v>
      </c>
      <c r="F44" s="652">
        <f>+RebateSummary!F19</f>
        <v>0</v>
      </c>
      <c r="G44" s="390">
        <f>+RebateSummary!H46</f>
        <v>0</v>
      </c>
      <c r="H44" s="391">
        <f>+RebateSummary!I46</f>
        <v>0</v>
      </c>
      <c r="I44" s="390">
        <f>+RebateSummary!J46</f>
        <v>0</v>
      </c>
      <c r="J44" s="391">
        <f>+RebateSummary!K46</f>
        <v>0</v>
      </c>
      <c r="K44" s="390">
        <f>+RebateSummary!L46</f>
        <v>0</v>
      </c>
      <c r="L44" s="391">
        <f>+RebateSummary!M46</f>
        <v>0</v>
      </c>
      <c r="M44" s="390">
        <f>+RebateSummary!P46</f>
        <v>0</v>
      </c>
      <c r="N44" s="337">
        <f>+RebateSummary!Q46</f>
        <v>0</v>
      </c>
      <c r="O44" s="392"/>
      <c r="P44" s="398"/>
      <c r="Q44" s="394">
        <f>+RebateSummary!R46</f>
        <v>0</v>
      </c>
      <c r="R44" s="548">
        <f>+RebateSummary!S46</f>
        <v>0</v>
      </c>
    </row>
    <row r="45" spans="2:18" ht="16.5" customHeight="1" x14ac:dyDescent="0.25">
      <c r="B45" s="547" t="str">
        <f>+RebateSummary!G47</f>
        <v>Minuet</v>
      </c>
      <c r="C45" s="175" t="str">
        <f>+RebateSummary!C48</f>
        <v>3.78 L</v>
      </c>
      <c r="D45" s="412">
        <f>+RebateSummary!D48</f>
        <v>0</v>
      </c>
      <c r="E45" s="176">
        <f>+RebateSummary!E48</f>
        <v>0</v>
      </c>
      <c r="F45" s="652">
        <f>+RebateSummary!F48</f>
        <v>0</v>
      </c>
      <c r="G45" s="390">
        <f>+RebateSummary!H47</f>
        <v>0</v>
      </c>
      <c r="H45" s="391">
        <f>+RebateSummary!I47</f>
        <v>0</v>
      </c>
      <c r="I45" s="390">
        <f>+RebateSummary!J47</f>
        <v>0</v>
      </c>
      <c r="J45" s="391">
        <f>+RebateSummary!K47</f>
        <v>0</v>
      </c>
      <c r="K45" s="390">
        <f>+RebateSummary!L47</f>
        <v>0</v>
      </c>
      <c r="L45" s="391">
        <f>+RebateSummary!M47</f>
        <v>0</v>
      </c>
      <c r="M45" s="390">
        <f>+RebateSummary!P47</f>
        <v>0</v>
      </c>
      <c r="N45" s="337">
        <f>+RebateSummary!Q47</f>
        <v>0</v>
      </c>
      <c r="O45" s="392"/>
      <c r="P45" s="398"/>
      <c r="Q45" s="394">
        <f>+RebateSummary!R47</f>
        <v>0</v>
      </c>
      <c r="R45" s="548">
        <f>+RebateSummary!S47</f>
        <v>0</v>
      </c>
    </row>
    <row r="46" spans="2:18" ht="16.5" customHeight="1" x14ac:dyDescent="0.25">
      <c r="B46" s="553" t="str">
        <f>+RebateSummary!G48</f>
        <v xml:space="preserve">Proline  </v>
      </c>
      <c r="C46" s="175" t="str">
        <f>+RebateSummary!C24</f>
        <v>5.1 L</v>
      </c>
      <c r="D46" s="412">
        <f>+RebateSummary!D24</f>
        <v>0</v>
      </c>
      <c r="E46" s="176">
        <f>+RebateSummary!E24</f>
        <v>0</v>
      </c>
      <c r="F46" s="652">
        <f>+RebateSummary!F24</f>
        <v>0</v>
      </c>
      <c r="G46" s="392"/>
      <c r="H46" s="392"/>
      <c r="I46" s="390">
        <f>+RebateSummary!J48</f>
        <v>0</v>
      </c>
      <c r="J46" s="391">
        <f>+RebateSummary!K48</f>
        <v>0</v>
      </c>
      <c r="K46" s="390">
        <f>+RebateSummary!L48</f>
        <v>0</v>
      </c>
      <c r="L46" s="391">
        <f>+RebateSummary!M48</f>
        <v>0</v>
      </c>
      <c r="M46" s="398"/>
      <c r="N46" s="398"/>
      <c r="O46" s="392"/>
      <c r="P46" s="398"/>
      <c r="Q46" s="394">
        <f>+RebateSummary!R48</f>
        <v>0</v>
      </c>
      <c r="R46" s="548">
        <f>+RebateSummary!S48</f>
        <v>0</v>
      </c>
    </row>
    <row r="47" spans="2:18" ht="16.5" customHeight="1" x14ac:dyDescent="0.25">
      <c r="B47" s="553" t="str">
        <f>+RebateSummary!G49</f>
        <v>Proline  GOLD</v>
      </c>
      <c r="C47" s="175" t="str">
        <f>+RebateSummary!C25</f>
        <v>10.12 L</v>
      </c>
      <c r="D47" s="412">
        <f>+RebateSummary!D25</f>
        <v>0</v>
      </c>
      <c r="E47" s="176">
        <f>+RebateSummary!E25</f>
        <v>0</v>
      </c>
      <c r="F47" s="652">
        <f>+RebateSummary!F25</f>
        <v>0</v>
      </c>
      <c r="G47" s="390">
        <f>+RebateSummary!H49</f>
        <v>0</v>
      </c>
      <c r="H47" s="391">
        <f>+RebateSummary!I49</f>
        <v>0</v>
      </c>
      <c r="I47" s="390">
        <f>+RebateSummary!J49</f>
        <v>0</v>
      </c>
      <c r="J47" s="391">
        <f>+RebateSummary!K49</f>
        <v>0</v>
      </c>
      <c r="K47" s="390">
        <f>+RebateSummary!L49</f>
        <v>0</v>
      </c>
      <c r="L47" s="391">
        <f>+RebateSummary!M49</f>
        <v>0</v>
      </c>
      <c r="M47" s="390">
        <f>+RebateSummary!P49</f>
        <v>0</v>
      </c>
      <c r="N47" s="337">
        <f>+RebateSummary!Q49</f>
        <v>0</v>
      </c>
      <c r="O47" s="392"/>
      <c r="P47" s="398"/>
      <c r="Q47" s="394">
        <f>+RebateSummary!R49</f>
        <v>0</v>
      </c>
      <c r="R47" s="548">
        <f>+RebateSummary!S49</f>
        <v>0</v>
      </c>
    </row>
    <row r="48" spans="2:18" ht="16.5" customHeight="1" x14ac:dyDescent="0.25">
      <c r="B48" s="553" t="str">
        <f>+RebateSummary!G50</f>
        <v>Prosaro PRO</v>
      </c>
      <c r="C48" s="175" t="str">
        <f>+RebateSummary!C26</f>
        <v>6.07 L</v>
      </c>
      <c r="D48" s="412">
        <f>+RebateSummary!D26</f>
        <v>0</v>
      </c>
      <c r="E48" s="176">
        <f>+RebateSummary!E26</f>
        <v>0</v>
      </c>
      <c r="F48" s="652">
        <f>+RebateSummary!F26</f>
        <v>0</v>
      </c>
      <c r="G48" s="390">
        <f>+RebateSummary!H50</f>
        <v>0</v>
      </c>
      <c r="H48" s="391">
        <f>+RebateSummary!I50</f>
        <v>0</v>
      </c>
      <c r="I48" s="390">
        <f>+RebateSummary!J50</f>
        <v>0</v>
      </c>
      <c r="J48" s="391">
        <f>+RebateSummary!K50</f>
        <v>0</v>
      </c>
      <c r="K48" s="390">
        <f>+RebateSummary!L50</f>
        <v>0</v>
      </c>
      <c r="L48" s="391">
        <f>+RebateSummary!M50</f>
        <v>0</v>
      </c>
      <c r="M48" s="398"/>
      <c r="N48" s="398"/>
      <c r="O48" s="392"/>
      <c r="P48" s="398"/>
      <c r="Q48" s="394">
        <f>+RebateSummary!R50</f>
        <v>0</v>
      </c>
      <c r="R48" s="548">
        <f>+RebateSummary!S50</f>
        <v>0</v>
      </c>
    </row>
    <row r="49" spans="2:18" ht="16.5" customHeight="1" x14ac:dyDescent="0.25">
      <c r="B49" s="553" t="str">
        <f>+RebateSummary!G51</f>
        <v xml:space="preserve">Prosaro XTR </v>
      </c>
      <c r="C49" s="175" t="str">
        <f>+RebateSummary!C27</f>
        <v>6.5 L</v>
      </c>
      <c r="D49" s="412">
        <f>+RebateSummary!D27</f>
        <v>0</v>
      </c>
      <c r="E49" s="176">
        <f>+RebateSummary!E27</f>
        <v>0</v>
      </c>
      <c r="F49" s="652">
        <f>+RebateSummary!F27</f>
        <v>0</v>
      </c>
      <c r="G49" s="392"/>
      <c r="H49" s="392"/>
      <c r="I49" s="390">
        <f>+RebateSummary!J51</f>
        <v>0</v>
      </c>
      <c r="J49" s="391">
        <f>+RebateSummary!K51</f>
        <v>0</v>
      </c>
      <c r="K49" s="390">
        <f>+RebateSummary!L51</f>
        <v>0</v>
      </c>
      <c r="L49" s="391">
        <f>+RebateSummary!M51</f>
        <v>0</v>
      </c>
      <c r="M49" s="398"/>
      <c r="N49" s="398"/>
      <c r="O49" s="392"/>
      <c r="P49" s="398"/>
      <c r="Q49" s="394">
        <f>+RebateSummary!R51</f>
        <v>0</v>
      </c>
      <c r="R49" s="548">
        <f>+RebateSummary!S51</f>
        <v>0</v>
      </c>
    </row>
    <row r="50" spans="2:18" ht="16.5" customHeight="1" x14ac:dyDescent="0.25">
      <c r="B50" s="547" t="str">
        <f>+RebateSummary!G52</f>
        <v>Scala</v>
      </c>
      <c r="C50" s="175" t="str">
        <f>+RebateSummary!C33</f>
        <v>2 L</v>
      </c>
      <c r="D50" s="412">
        <f>+RebateSummary!D33</f>
        <v>0</v>
      </c>
      <c r="E50" s="176">
        <f>+RebateSummary!E33</f>
        <v>0</v>
      </c>
      <c r="F50" s="652">
        <f>+RebateSummary!F33</f>
        <v>0</v>
      </c>
      <c r="G50" s="390">
        <f>+RebateSummary!H52</f>
        <v>0</v>
      </c>
      <c r="H50" s="391">
        <f>+RebateSummary!I52</f>
        <v>0</v>
      </c>
      <c r="I50" s="390">
        <f>+RebateSummary!J52</f>
        <v>0</v>
      </c>
      <c r="J50" s="391">
        <f>+RebateSummary!K52</f>
        <v>0</v>
      </c>
      <c r="K50" s="390">
        <f>+RebateSummary!L52</f>
        <v>0</v>
      </c>
      <c r="L50" s="391">
        <f>+RebateSummary!M52</f>
        <v>0</v>
      </c>
      <c r="M50" s="390">
        <f>+RebateSummary!P52</f>
        <v>0</v>
      </c>
      <c r="N50" s="337">
        <f>+RebateSummary!Q52</f>
        <v>0</v>
      </c>
      <c r="O50" s="392"/>
      <c r="P50" s="398"/>
      <c r="Q50" s="394">
        <f>+RebateSummary!R52</f>
        <v>0</v>
      </c>
      <c r="R50" s="548">
        <f>+RebateSummary!S52</f>
        <v>0</v>
      </c>
    </row>
    <row r="51" spans="2:18" ht="16.5" hidden="1" customHeight="1" x14ac:dyDescent="0.25">
      <c r="B51" s="547"/>
      <c r="C51" s="175"/>
      <c r="D51" s="412"/>
      <c r="E51" s="176"/>
      <c r="F51" s="652"/>
      <c r="G51" s="390"/>
      <c r="H51" s="391"/>
      <c r="I51" s="390"/>
      <c r="J51" s="391"/>
      <c r="K51" s="390"/>
      <c r="L51" s="391"/>
      <c r="M51" s="390"/>
      <c r="N51" s="337"/>
      <c r="O51" s="392"/>
      <c r="P51" s="398"/>
      <c r="Q51" s="394"/>
      <c r="R51" s="548"/>
    </row>
    <row r="52" spans="2:18" ht="16.5" customHeight="1" x14ac:dyDescent="0.25">
      <c r="B52" s="553" t="str">
        <f>+RebateSummary!G54</f>
        <v>TilMOR</v>
      </c>
      <c r="C52" s="175" t="str">
        <f>+RebateSummary!C39</f>
        <v>10.12 L</v>
      </c>
      <c r="D52" s="412">
        <f>+RebateSummary!D39</f>
        <v>0</v>
      </c>
      <c r="E52" s="176">
        <f>+RebateSummary!E39</f>
        <v>0</v>
      </c>
      <c r="F52" s="652">
        <f>+RebateSummary!F39</f>
        <v>0</v>
      </c>
      <c r="G52" s="390">
        <f>+RebateSummary!H54</f>
        <v>0</v>
      </c>
      <c r="H52" s="391">
        <f>+RebateSummary!I54</f>
        <v>0</v>
      </c>
      <c r="I52" s="390">
        <f>+RebateSummary!J54</f>
        <v>0</v>
      </c>
      <c r="J52" s="391">
        <f>+RebateSummary!K54</f>
        <v>0</v>
      </c>
      <c r="K52" s="390">
        <f>+RebateSummary!L54</f>
        <v>0</v>
      </c>
      <c r="L52" s="391">
        <f>+RebateSummary!M54</f>
        <v>0</v>
      </c>
      <c r="M52" s="392"/>
      <c r="N52" s="398"/>
      <c r="O52" s="392"/>
      <c r="P52" s="398"/>
      <c r="Q52" s="394">
        <f>+RebateSummary!R54</f>
        <v>0</v>
      </c>
      <c r="R52" s="548">
        <f>+RebateSummary!S54</f>
        <v>0</v>
      </c>
    </row>
    <row r="53" spans="2:18" ht="16.5" customHeight="1" x14ac:dyDescent="0.25">
      <c r="B53" s="547" t="str">
        <f>+RebateSummary!G55</f>
        <v>Velum Prime</v>
      </c>
      <c r="C53" s="175" t="str">
        <f>+RebateSummary!C45</f>
        <v>4.04 L</v>
      </c>
      <c r="D53" s="412">
        <f>+RebateSummary!D45</f>
        <v>0</v>
      </c>
      <c r="E53" s="176">
        <f>+RebateSummary!E45</f>
        <v>0</v>
      </c>
      <c r="F53" s="652">
        <f>+RebateSummary!F45</f>
        <v>0</v>
      </c>
      <c r="G53" s="390">
        <f>+RebateSummary!H55</f>
        <v>0</v>
      </c>
      <c r="H53" s="391">
        <f>+RebateSummary!I55</f>
        <v>0</v>
      </c>
      <c r="I53" s="390">
        <f>+RebateSummary!J55</f>
        <v>0</v>
      </c>
      <c r="J53" s="391">
        <f>+RebateSummary!K55</f>
        <v>0</v>
      </c>
      <c r="K53" s="390">
        <f>+RebateSummary!L55</f>
        <v>0</v>
      </c>
      <c r="L53" s="391">
        <f>+RebateSummary!M55</f>
        <v>0</v>
      </c>
      <c r="M53" s="390">
        <f>+RebateSummary!P55</f>
        <v>0</v>
      </c>
      <c r="N53" s="337">
        <f>+RebateSummary!Q55</f>
        <v>0</v>
      </c>
      <c r="O53" s="392"/>
      <c r="P53" s="398"/>
      <c r="Q53" s="394">
        <f>+RebateSummary!R55</f>
        <v>0</v>
      </c>
      <c r="R53" s="548">
        <f>+RebateSummary!S55</f>
        <v>0</v>
      </c>
    </row>
    <row r="54" spans="2:18" ht="16.5" customHeight="1" x14ac:dyDescent="0.25">
      <c r="B54" s="554" t="str">
        <f>+RebateSummary!G56</f>
        <v>Velum Rise</v>
      </c>
      <c r="C54" s="194" t="str">
        <f>+RebateSummary!C52</f>
        <v>4.04 L</v>
      </c>
      <c r="D54" s="413">
        <f>+RebateSummary!D52</f>
        <v>0</v>
      </c>
      <c r="E54" s="177">
        <f>+RebateSummary!E52</f>
        <v>0</v>
      </c>
      <c r="F54" s="653">
        <f>+RebateSummary!F52</f>
        <v>0</v>
      </c>
      <c r="G54" s="402">
        <f>+RebateSummary!H56</f>
        <v>0</v>
      </c>
      <c r="H54" s="403">
        <f>+RebateSummary!I56</f>
        <v>0</v>
      </c>
      <c r="I54" s="402">
        <f>+RebateSummary!J56</f>
        <v>0</v>
      </c>
      <c r="J54" s="403">
        <f>+RebateSummary!K56</f>
        <v>0</v>
      </c>
      <c r="K54" s="402">
        <f>+RebateSummary!L56</f>
        <v>0</v>
      </c>
      <c r="L54" s="403">
        <f>+RebateSummary!M56</f>
        <v>0</v>
      </c>
      <c r="M54" s="402">
        <f>+RebateSummary!P56</f>
        <v>0</v>
      </c>
      <c r="N54" s="404">
        <f>+RebateSummary!Q56</f>
        <v>0</v>
      </c>
      <c r="O54" s="405"/>
      <c r="P54" s="406"/>
      <c r="Q54" s="407">
        <f>+RebateSummary!R56</f>
        <v>0</v>
      </c>
      <c r="R54" s="555">
        <f>+RebateSummary!S56</f>
        <v>0</v>
      </c>
    </row>
    <row r="55" spans="2:18" ht="16.5" customHeight="1" x14ac:dyDescent="0.3">
      <c r="B55" s="520"/>
      <c r="C55" s="657"/>
      <c r="D55" s="658"/>
      <c r="E55" s="659"/>
      <c r="F55" s="654" t="str">
        <f>+RebateSummary!G61</f>
        <v>BayerValue™ Segment Totals</v>
      </c>
      <c r="G55" s="868">
        <f>+RebateSummary!H61</f>
        <v>0</v>
      </c>
      <c r="H55" s="861"/>
      <c r="I55" s="868">
        <f>+RebateSummary!J61</f>
        <v>0</v>
      </c>
      <c r="J55" s="862"/>
      <c r="K55" s="868">
        <f>+RebateSummary!L61</f>
        <v>0</v>
      </c>
      <c r="L55" s="862"/>
      <c r="M55" s="868">
        <f>+RebateSummary!P61</f>
        <v>0</v>
      </c>
      <c r="N55" s="862"/>
      <c r="O55" s="868">
        <f>+RebateSummary!N61</f>
        <v>0</v>
      </c>
      <c r="P55" s="862"/>
      <c r="Q55" s="884">
        <f>+RebateSummary!S61</f>
        <v>0</v>
      </c>
      <c r="R55" s="885"/>
    </row>
    <row r="56" spans="2:18" ht="16.5" customHeight="1" x14ac:dyDescent="0.3">
      <c r="B56" s="556"/>
      <c r="C56" s="591"/>
      <c r="D56" s="592"/>
      <c r="E56" s="593"/>
      <c r="F56" s="594"/>
      <c r="G56" s="595"/>
      <c r="I56" s="595"/>
      <c r="K56" s="595"/>
      <c r="M56" s="596"/>
      <c r="N56" s="541"/>
      <c r="O56" s="596"/>
      <c r="P56" s="541"/>
      <c r="Q56" s="655"/>
      <c r="R56" s="656"/>
    </row>
    <row r="57" spans="2:18" ht="20.25" customHeight="1" x14ac:dyDescent="0.25">
      <c r="B57" s="856" t="str">
        <f>+RebateSummary!B59</f>
        <v>Total Crop Trait Acreage</v>
      </c>
      <c r="C57" s="857"/>
      <c r="D57" s="860" t="s">
        <v>428</v>
      </c>
      <c r="E57" s="861"/>
      <c r="F57" s="862"/>
      <c r="G57" s="615" t="s">
        <v>2</v>
      </c>
      <c r="H57" s="614"/>
      <c r="I57" s="522"/>
      <c r="J57" s="686" t="str">
        <f>+Purchases!F69</f>
        <v/>
      </c>
      <c r="K57" s="687"/>
      <c r="L57" s="688"/>
      <c r="M57" s="573"/>
      <c r="N57" s="530"/>
      <c r="O57" s="530"/>
      <c r="P57" s="529"/>
      <c r="Q57" s="873" t="str">
        <f>+Purchases!H69</f>
        <v xml:space="preserve"> </v>
      </c>
      <c r="R57" s="874"/>
    </row>
    <row r="58" spans="2:18" ht="16.5" customHeight="1" x14ac:dyDescent="0.25">
      <c r="B58" s="858">
        <f>+Purchases!C17</f>
        <v>0</v>
      </c>
      <c r="C58" s="859"/>
      <c r="D58" s="520" t="str">
        <f>+RebateSummary!B67</f>
        <v>Pardner, Olympus, Huskie Pre</v>
      </c>
      <c r="E58" s="526"/>
      <c r="F58" s="590"/>
      <c r="G58" s="616">
        <f>+RebateSummary!C67</f>
        <v>0</v>
      </c>
      <c r="I58" s="574"/>
      <c r="J58" s="147"/>
      <c r="K58" s="147"/>
      <c r="L58" s="147"/>
      <c r="M58" s="287"/>
      <c r="N58" s="287"/>
      <c r="O58" s="287"/>
      <c r="P58" s="287"/>
      <c r="Q58" s="524"/>
      <c r="R58" s="523"/>
    </row>
    <row r="59" spans="2:18" ht="16.5" customHeight="1" x14ac:dyDescent="0.25">
      <c r="B59" s="605"/>
      <c r="C59" s="628"/>
      <c r="D59" s="520" t="str">
        <f>+RebateSummary!B68</f>
        <v>Roundup Transorb HC</v>
      </c>
      <c r="E59" s="526"/>
      <c r="F59" s="590"/>
      <c r="G59" s="616">
        <f>+RebateSummary!C68</f>
        <v>0</v>
      </c>
      <c r="H59" s="541"/>
      <c r="I59" s="606"/>
      <c r="J59" s="147"/>
      <c r="K59" s="147"/>
      <c r="L59" s="147"/>
      <c r="M59" s="287"/>
      <c r="N59" s="287"/>
      <c r="O59" s="287"/>
      <c r="P59" s="287"/>
      <c r="Q59" s="524"/>
      <c r="R59" s="523"/>
    </row>
    <row r="60" spans="2:18" ht="16.5" customHeight="1" x14ac:dyDescent="0.25">
      <c r="B60" s="540"/>
      <c r="C60" s="629"/>
      <c r="D60" s="520" t="s">
        <v>430</v>
      </c>
      <c r="E60" s="526"/>
      <c r="F60" s="590"/>
      <c r="G60" s="616">
        <f>+RebateSummary!C71</f>
        <v>0</v>
      </c>
      <c r="H60" s="328" t="s">
        <v>455</v>
      </c>
      <c r="I60" s="597" t="s">
        <v>454</v>
      </c>
      <c r="J60" s="660" t="str">
        <f>+RebateSummary!K62</f>
        <v>Pre-Burn Tank-Mix Bonus</v>
      </c>
      <c r="K60" s="519"/>
      <c r="L60" s="617"/>
      <c r="M60" s="617"/>
      <c r="N60" s="614"/>
      <c r="O60" s="618"/>
      <c r="P60" s="619"/>
      <c r="Q60" s="894">
        <f>+RebateSummary!R62</f>
        <v>0</v>
      </c>
      <c r="R60" s="895"/>
    </row>
    <row r="61" spans="2:18" ht="16.5" customHeight="1" x14ac:dyDescent="0.25">
      <c r="B61" s="556"/>
      <c r="C61" s="591"/>
      <c r="D61" s="593"/>
      <c r="E61" s="597"/>
      <c r="F61" s="26"/>
      <c r="G61" s="623"/>
      <c r="H61" s="620"/>
      <c r="I61" s="614"/>
      <c r="J61" s="614"/>
      <c r="K61" s="522"/>
      <c r="L61" s="614"/>
      <c r="M61" s="614"/>
      <c r="N61" s="614"/>
      <c r="O61" s="618"/>
      <c r="P61" s="618"/>
      <c r="Q61" s="621"/>
      <c r="R61" s="622"/>
    </row>
    <row r="62" spans="2:18" ht="16.5" customHeight="1" x14ac:dyDescent="0.25">
      <c r="B62" s="556"/>
      <c r="C62" s="591"/>
      <c r="D62" s="593"/>
      <c r="E62" s="593"/>
      <c r="F62" s="26"/>
      <c r="G62" s="623"/>
      <c r="H62" s="540"/>
      <c r="I62" s="541"/>
      <c r="J62" s="541"/>
      <c r="K62" s="541"/>
      <c r="L62" s="541"/>
      <c r="M62" s="541"/>
      <c r="N62" s="541"/>
      <c r="O62" s="541"/>
      <c r="P62" s="541"/>
      <c r="Q62" s="541"/>
      <c r="R62" s="531"/>
    </row>
    <row r="63" spans="2:18" ht="19.5" customHeight="1" x14ac:dyDescent="0.35">
      <c r="B63" s="556"/>
      <c r="C63" s="591"/>
      <c r="D63" s="593"/>
      <c r="E63" s="593"/>
      <c r="F63" s="26"/>
      <c r="G63" s="623"/>
      <c r="H63" s="569"/>
      <c r="I63" s="570" t="str">
        <f>+Purchases!D72</f>
        <v>BayerValue™ Rewards</v>
      </c>
      <c r="J63" s="570"/>
      <c r="K63" s="570"/>
      <c r="L63" s="570"/>
      <c r="M63" s="571"/>
      <c r="N63" s="571"/>
      <c r="O63" s="572"/>
      <c r="P63" s="607"/>
      <c r="Q63" s="882">
        <f>+RebateSummary!R64</f>
        <v>0</v>
      </c>
      <c r="R63" s="883"/>
    </row>
    <row r="64" spans="2:18" ht="21" customHeight="1" x14ac:dyDescent="0.3">
      <c r="B64" s="624"/>
      <c r="C64" s="625"/>
      <c r="D64" s="626"/>
      <c r="E64" s="627"/>
      <c r="F64" s="469"/>
      <c r="G64" s="531"/>
      <c r="H64" s="575"/>
      <c r="I64" s="576" t="str">
        <f>+RebateSummary!O65</f>
        <v>Overall % Savings BayerValue Rewards</v>
      </c>
      <c r="J64" s="577"/>
      <c r="K64" s="577"/>
      <c r="L64" s="577"/>
      <c r="M64" s="578"/>
      <c r="N64" s="578"/>
      <c r="O64" s="579"/>
      <c r="P64" s="580"/>
      <c r="Q64" s="890">
        <f>+RebateSummary!R65</f>
        <v>0</v>
      </c>
      <c r="R64" s="891"/>
    </row>
    <row r="65" spans="2:19" ht="9.75" hidden="1" customHeight="1" x14ac:dyDescent="0.3">
      <c r="B65" s="556"/>
      <c r="C65" s="591"/>
      <c r="D65" s="592"/>
      <c r="E65" s="593"/>
      <c r="F65" s="26"/>
      <c r="G65" s="604"/>
      <c r="H65" s="642"/>
      <c r="I65" s="643"/>
      <c r="J65" s="644"/>
      <c r="K65" s="644"/>
      <c r="L65" s="644"/>
      <c r="M65" s="645"/>
      <c r="N65" s="645"/>
      <c r="O65" s="646"/>
      <c r="P65" s="646"/>
      <c r="Q65" s="581"/>
      <c r="R65" s="582"/>
    </row>
    <row r="66" spans="2:19" ht="16.5" customHeight="1" x14ac:dyDescent="0.35">
      <c r="B66" s="588" t="str">
        <f>"Qualifying Highlights - " &amp; I63</f>
        <v>Qualifying Highlights - BayerValue™ Rewards</v>
      </c>
      <c r="C66" s="525"/>
      <c r="D66" s="525"/>
      <c r="E66" s="525"/>
      <c r="F66" s="525"/>
      <c r="G66" s="589"/>
      <c r="H66" s="26"/>
      <c r="I66" s="26"/>
      <c r="J66" s="26"/>
      <c r="K66" s="26"/>
      <c r="L66" s="647"/>
      <c r="M66" s="648"/>
      <c r="N66" s="648"/>
      <c r="O66" s="646"/>
      <c r="P66" s="646"/>
      <c r="Q66" s="377"/>
      <c r="R66" s="538"/>
    </row>
    <row r="67" spans="2:19" ht="16.5" customHeight="1" x14ac:dyDescent="0.35">
      <c r="B67" s="583" t="s">
        <v>47</v>
      </c>
      <c r="C67" s="584"/>
      <c r="D67" s="585">
        <f>+RebateSummary!H25</f>
        <v>0</v>
      </c>
      <c r="E67" s="586" t="s">
        <v>48</v>
      </c>
      <c r="F67" s="587"/>
      <c r="G67" s="612" t="str">
        <f>IF(D67 &gt;=300, "Yes", "No")</f>
        <v>No</v>
      </c>
      <c r="L67" s="647"/>
      <c r="M67" s="648"/>
      <c r="N67" s="648"/>
      <c r="O67" s="646"/>
      <c r="P67" s="646"/>
      <c r="Q67" s="377"/>
      <c r="R67" s="538"/>
    </row>
    <row r="68" spans="2:19" ht="16.5" customHeight="1" x14ac:dyDescent="0.35">
      <c r="B68" s="557" t="s">
        <v>49</v>
      </c>
      <c r="C68" s="195"/>
      <c r="D68" s="414">
        <f>+RebateSummary!H41</f>
        <v>0</v>
      </c>
      <c r="E68" s="527" t="s">
        <v>48</v>
      </c>
      <c r="F68" s="528"/>
      <c r="G68" s="613" t="str">
        <f>IF(D68 &gt;=300, "Yes", "No")</f>
        <v>No</v>
      </c>
      <c r="L68" s="647"/>
      <c r="M68" s="648"/>
      <c r="N68" s="648"/>
      <c r="O68" s="646"/>
      <c r="P68" s="646"/>
      <c r="Q68" s="377"/>
      <c r="R68" s="538"/>
    </row>
    <row r="69" spans="2:19" ht="16.5" customHeight="1" x14ac:dyDescent="0.35">
      <c r="B69" s="557" t="s">
        <v>50</v>
      </c>
      <c r="C69" s="195"/>
      <c r="D69" s="535">
        <f>+RebateSummary!H57</f>
        <v>0</v>
      </c>
      <c r="E69" s="601" t="s">
        <v>48</v>
      </c>
      <c r="F69" s="602"/>
      <c r="G69" s="603" t="str">
        <f>IF(D69 &gt;=300, "Yes", "No")</f>
        <v>No</v>
      </c>
      <c r="L69" s="649"/>
      <c r="M69" s="645"/>
      <c r="N69" s="645"/>
      <c r="O69" s="642"/>
      <c r="P69" s="642"/>
      <c r="Q69" s="880"/>
      <c r="R69" s="881"/>
      <c r="S69" s="377"/>
    </row>
    <row r="70" spans="2:19" ht="16.5" customHeight="1" x14ac:dyDescent="0.25">
      <c r="B70" s="558" t="s">
        <v>106</v>
      </c>
      <c r="C70" s="534"/>
      <c r="D70" s="598">
        <f>+Purchases!M25</f>
        <v>0</v>
      </c>
      <c r="E70" s="608"/>
      <c r="F70" s="609"/>
      <c r="G70" s="610"/>
      <c r="R70" s="539"/>
    </row>
    <row r="71" spans="2:19" ht="16.5" customHeight="1" x14ac:dyDescent="0.25">
      <c r="B71" s="559" t="s">
        <v>456</v>
      </c>
      <c r="C71" s="533"/>
      <c r="D71" s="586">
        <f>+RebateSummary!E57</f>
        <v>0</v>
      </c>
      <c r="E71" s="537"/>
      <c r="F71" s="592"/>
      <c r="G71" s="611"/>
      <c r="H71" s="650"/>
      <c r="K71" s="651"/>
      <c r="R71" s="539"/>
    </row>
    <row r="72" spans="2:19" ht="16.5" customHeight="1" x14ac:dyDescent="0.25">
      <c r="B72" s="559" t="s">
        <v>457</v>
      </c>
      <c r="C72" s="533"/>
      <c r="D72" s="599">
        <f>+Purchases!M22</f>
        <v>0</v>
      </c>
      <c r="E72" s="537"/>
      <c r="G72" s="539"/>
      <c r="R72" s="539"/>
    </row>
    <row r="73" spans="2:19" ht="16.5" customHeight="1" x14ac:dyDescent="0.25">
      <c r="B73" s="536" t="str">
        <f>IF( Purchases!S$20 = TRUE, +Purchases!J36, Purchases!Q42)</f>
        <v>Payable Pre-Burn Tank-Mix Acres</v>
      </c>
      <c r="C73" s="526"/>
      <c r="D73" s="600">
        <f>IF( Purchases!S$20 = TRUE, +Purchases!M36, RebateSummary!C$71)</f>
        <v>0</v>
      </c>
      <c r="E73" s="537"/>
      <c r="G73" s="539"/>
      <c r="L73" s="26"/>
      <c r="M73" s="26"/>
      <c r="N73" s="26"/>
      <c r="O73" s="26"/>
      <c r="P73" s="26"/>
      <c r="Q73" s="26"/>
      <c r="R73" s="470"/>
    </row>
    <row r="74" spans="2:19" ht="16.5" customHeight="1" x14ac:dyDescent="0.25">
      <c r="B74" s="536" t="str">
        <f>IF( Purchases!S$20 = TRUE, +Purchases!J38, " ")</f>
        <v xml:space="preserve"> </v>
      </c>
      <c r="C74" s="526"/>
      <c r="D74" s="600" t="str">
        <f>IF( Purchases!S$20 = TRUE, +Purchases!M38, " ")</f>
        <v xml:space="preserve"> </v>
      </c>
      <c r="E74" s="689"/>
      <c r="F74" s="526"/>
      <c r="G74" s="590"/>
      <c r="L74" s="287"/>
      <c r="M74" s="287"/>
      <c r="N74" s="287"/>
      <c r="Q74" s="26"/>
      <c r="R74" s="552"/>
      <c r="S74" s="147"/>
    </row>
    <row r="75" spans="2:19" ht="19.5" customHeight="1" x14ac:dyDescent="0.35">
      <c r="B75" s="536" t="str">
        <f>+Purchases!J41</f>
        <v xml:space="preserve"> </v>
      </c>
      <c r="C75" s="526"/>
      <c r="D75" s="600" t="str">
        <f>+Purchases!M41</f>
        <v xml:space="preserve"> </v>
      </c>
      <c r="E75" s="689"/>
      <c r="F75" s="526"/>
      <c r="G75" s="590"/>
      <c r="H75" s="631"/>
      <c r="I75" s="632" t="str">
        <f>+Purchases!D73</f>
        <v>DEKALB® SUMMER SIZZLER Rebate</v>
      </c>
      <c r="J75" s="632"/>
      <c r="K75" s="632"/>
      <c r="L75" s="632"/>
      <c r="M75" s="633"/>
      <c r="N75" s="633"/>
      <c r="O75" s="634"/>
      <c r="P75" s="634"/>
      <c r="Q75" s="896">
        <f>+Purchases!M$15</f>
        <v>0</v>
      </c>
      <c r="R75" s="897"/>
    </row>
    <row r="76" spans="2:19" ht="11.25" customHeight="1" x14ac:dyDescent="0.25">
      <c r="B76" s="605"/>
      <c r="C76" s="630"/>
      <c r="D76" s="614"/>
      <c r="H76" s="614"/>
      <c r="I76" s="614"/>
      <c r="J76" s="614"/>
      <c r="K76" s="614"/>
      <c r="L76" s="635"/>
      <c r="M76" s="635"/>
      <c r="N76" s="635"/>
      <c r="O76" s="614"/>
      <c r="P76" s="614"/>
      <c r="Q76" s="521"/>
      <c r="R76" s="636"/>
    </row>
    <row r="77" spans="2:19" ht="28.5" customHeight="1" x14ac:dyDescent="0.35">
      <c r="B77" s="556"/>
      <c r="C77" s="374"/>
      <c r="D77" s="592"/>
      <c r="E77" s="592"/>
      <c r="F77" s="592"/>
      <c r="G77" s="375"/>
      <c r="I77" s="637" t="str">
        <f>+Purchases!D77</f>
        <v>Total BayerValue™ Rebate</v>
      </c>
      <c r="O77" s="375"/>
      <c r="P77" s="376"/>
      <c r="Q77" s="875">
        <f>+Purchases!G77</f>
        <v>0</v>
      </c>
      <c r="R77" s="876"/>
    </row>
    <row r="78" spans="2:19" ht="15" hidden="1" customHeight="1" x14ac:dyDescent="0.25">
      <c r="B78" s="560" t="s">
        <v>405</v>
      </c>
      <c r="C78" s="638"/>
      <c r="D78" s="638"/>
      <c r="E78" s="638"/>
      <c r="F78" s="638"/>
      <c r="G78" s="638"/>
      <c r="H78" s="638"/>
      <c r="I78" s="638"/>
      <c r="J78" s="638"/>
      <c r="K78" s="638"/>
      <c r="L78" s="638"/>
      <c r="M78" s="639"/>
      <c r="N78" s="639"/>
      <c r="O78" s="638"/>
      <c r="P78" s="639"/>
      <c r="Q78" s="639"/>
      <c r="R78" s="561"/>
    </row>
    <row r="79" spans="2:19" ht="15" hidden="1" customHeight="1" x14ac:dyDescent="0.25">
      <c r="B79" s="560"/>
      <c r="C79" s="638"/>
      <c r="D79" s="638"/>
      <c r="E79" s="638"/>
      <c r="F79" s="638"/>
      <c r="G79" s="638"/>
      <c r="H79" s="638"/>
      <c r="I79" s="638"/>
      <c r="J79" s="638"/>
      <c r="K79" s="638"/>
      <c r="L79" s="638"/>
      <c r="M79" s="639"/>
      <c r="N79" s="639"/>
      <c r="O79" s="638"/>
      <c r="P79" s="639"/>
      <c r="Q79" s="639"/>
      <c r="R79" s="561"/>
    </row>
    <row r="80" spans="2:19" ht="15" hidden="1" customHeight="1" thickBot="1" x14ac:dyDescent="0.3">
      <c r="B80" s="562"/>
      <c r="C80" s="385"/>
      <c r="D80" s="385"/>
      <c r="E80" s="638"/>
      <c r="F80" s="638"/>
      <c r="G80" s="638"/>
      <c r="H80" s="638"/>
      <c r="I80" s="638"/>
      <c r="J80" s="638"/>
      <c r="K80" s="638"/>
      <c r="L80" s="638"/>
      <c r="M80" s="639"/>
      <c r="N80" s="639"/>
      <c r="O80" s="638"/>
      <c r="P80" s="639"/>
      <c r="Q80" s="639"/>
      <c r="R80" s="561"/>
    </row>
    <row r="81" spans="2:18" ht="15" customHeight="1" x14ac:dyDescent="0.25">
      <c r="B81" s="540"/>
      <c r="C81" s="563"/>
      <c r="D81" s="541"/>
      <c r="E81" s="541"/>
      <c r="F81" s="541"/>
      <c r="G81" s="541"/>
      <c r="H81" s="541"/>
      <c r="I81" s="541"/>
      <c r="J81" s="541"/>
      <c r="K81" s="541"/>
      <c r="L81" s="541"/>
      <c r="M81" s="541"/>
      <c r="N81" s="541"/>
      <c r="O81" s="541"/>
      <c r="P81" s="541"/>
      <c r="Q81" s="541"/>
      <c r="R81" s="531"/>
    </row>
    <row r="82" spans="2:18" ht="15" customHeight="1" x14ac:dyDescent="0.25"/>
    <row r="83" spans="2:18" ht="15" customHeight="1" x14ac:dyDescent="0.25"/>
    <row r="84" spans="2:18" ht="15" customHeight="1" x14ac:dyDescent="0.25"/>
    <row r="85" spans="2:18" ht="15" customHeight="1" x14ac:dyDescent="0.25"/>
    <row r="86" spans="2:18" ht="15" customHeight="1" x14ac:dyDescent="0.25"/>
    <row r="87" spans="2:18" ht="15" customHeight="1" x14ac:dyDescent="0.25"/>
    <row r="88" spans="2:18" ht="15" customHeight="1" x14ac:dyDescent="0.25"/>
    <row r="95" spans="2:18" ht="9" customHeight="1" x14ac:dyDescent="0.25"/>
  </sheetData>
  <sheetProtection algorithmName="SHA-512" hashValue="CwZK9q8MfULtd3RtIAqzNLL5mzDx6OJ0geX3Si13JDsJg3r8fLH+jU+OMmY1SKvseus6e++TIC3zGmzgbCft8w==" saltValue="QQUUp+iXCD2py6gWUz6qoQ==" spinCount="100000" sheet="1" objects="1" scenarios="1"/>
  <mergeCells count="27">
    <mergeCell ref="Q57:R57"/>
    <mergeCell ref="Q77:R77"/>
    <mergeCell ref="F8:F10"/>
    <mergeCell ref="Q69:R69"/>
    <mergeCell ref="Q63:R63"/>
    <mergeCell ref="M55:N55"/>
    <mergeCell ref="Q55:R55"/>
    <mergeCell ref="Q8:R9"/>
    <mergeCell ref="Q64:R64"/>
    <mergeCell ref="M8:N8"/>
    <mergeCell ref="O8:P8"/>
    <mergeCell ref="Q60:R60"/>
    <mergeCell ref="Q75:R75"/>
    <mergeCell ref="G55:H55"/>
    <mergeCell ref="I55:J55"/>
    <mergeCell ref="K55:L55"/>
    <mergeCell ref="O55:P55"/>
    <mergeCell ref="I5:J5"/>
    <mergeCell ref="B8:B10"/>
    <mergeCell ref="I8:J8"/>
    <mergeCell ref="K8:L8"/>
    <mergeCell ref="B57:C57"/>
    <mergeCell ref="B58:C58"/>
    <mergeCell ref="D57:F57"/>
    <mergeCell ref="D5:G5"/>
    <mergeCell ref="I7:J7"/>
    <mergeCell ref="G8:H8"/>
  </mergeCells>
  <printOptions horizontalCentered="1"/>
  <pageMargins left="0.11811023622047245" right="0.11811023622047245" top="0.55118110236220474" bottom="0.35433070866141736" header="0.31496062992125984" footer="0.31496062992125984"/>
  <pageSetup scale="55" orientation="landscape" horizontalDpi="4294967293" r:id="rId1"/>
  <headerFooter>
    <oddFooter>&amp;R_x000D_&amp;1#&amp;"Calibri"&amp;22&amp;KFF8939 RESTRICTED</oddFooter>
  </headerFooter>
  <rowBreaks count="1" manualBreakCount="1">
    <brk id="40" max="16383" man="1"/>
  </rowBreaks>
  <ignoredErrors>
    <ignoredError sqref="Q10 L44 L45:L50 L12 L13:L25 L52:L5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66EC-7235-455C-ADEF-356C309CEF4D}">
  <sheetPr codeName="Sheet5">
    <tabColor rgb="FF00B0F0"/>
  </sheetPr>
  <dimension ref="A1:V81"/>
  <sheetViews>
    <sheetView showGridLines="0" showRowColHeaders="0" workbookViewId="0">
      <selection activeCell="P74" sqref="P74"/>
    </sheetView>
  </sheetViews>
  <sheetFormatPr defaultRowHeight="15" x14ac:dyDescent="0.25"/>
  <sheetData>
    <row r="1" spans="21:22" x14ac:dyDescent="0.25">
      <c r="U1" s="707"/>
      <c r="V1" s="707"/>
    </row>
    <row r="2" spans="21:22" x14ac:dyDescent="0.25">
      <c r="U2" s="707"/>
      <c r="V2" s="707"/>
    </row>
    <row r="3" spans="21:22" x14ac:dyDescent="0.25">
      <c r="U3" s="707"/>
      <c r="V3" s="707"/>
    </row>
    <row r="4" spans="21:22" x14ac:dyDescent="0.25">
      <c r="U4" s="707"/>
      <c r="V4" s="707"/>
    </row>
    <row r="5" spans="21:22" x14ac:dyDescent="0.25">
      <c r="U5" s="707"/>
      <c r="V5" s="707"/>
    </row>
    <row r="6" spans="21:22" x14ac:dyDescent="0.25">
      <c r="U6" s="707"/>
      <c r="V6" s="707"/>
    </row>
    <row r="7" spans="21:22" x14ac:dyDescent="0.25">
      <c r="U7" s="707"/>
      <c r="V7" s="707"/>
    </row>
    <row r="8" spans="21:22" x14ac:dyDescent="0.25">
      <c r="U8" s="707"/>
      <c r="V8" s="707"/>
    </row>
    <row r="9" spans="21:22" x14ac:dyDescent="0.25">
      <c r="U9" s="707"/>
      <c r="V9" s="707"/>
    </row>
    <row r="10" spans="21:22" x14ac:dyDescent="0.25">
      <c r="U10" s="707"/>
      <c r="V10" s="707"/>
    </row>
    <row r="11" spans="21:22" x14ac:dyDescent="0.25">
      <c r="U11" s="707"/>
      <c r="V11" s="707"/>
    </row>
    <row r="12" spans="21:22" x14ac:dyDescent="0.25">
      <c r="U12" s="707"/>
      <c r="V12" s="707"/>
    </row>
    <row r="13" spans="21:22" x14ac:dyDescent="0.25">
      <c r="U13" s="707"/>
      <c r="V13" s="707"/>
    </row>
    <row r="14" spans="21:22" x14ac:dyDescent="0.25">
      <c r="U14" s="707"/>
      <c r="V14" s="707"/>
    </row>
    <row r="15" spans="21:22" x14ac:dyDescent="0.25">
      <c r="U15" s="707"/>
      <c r="V15" s="707"/>
    </row>
    <row r="16" spans="21:22" x14ac:dyDescent="0.25">
      <c r="U16" s="707"/>
      <c r="V16" s="707"/>
    </row>
    <row r="17" spans="21:22" x14ac:dyDescent="0.25">
      <c r="U17" s="707"/>
      <c r="V17" s="707"/>
    </row>
    <row r="18" spans="21:22" x14ac:dyDescent="0.25">
      <c r="U18" s="707"/>
      <c r="V18" s="707"/>
    </row>
    <row r="19" spans="21:22" x14ac:dyDescent="0.25">
      <c r="U19" s="707"/>
      <c r="V19" s="707"/>
    </row>
    <row r="20" spans="21:22" x14ac:dyDescent="0.25">
      <c r="U20" s="707"/>
      <c r="V20" s="707"/>
    </row>
    <row r="21" spans="21:22" x14ac:dyDescent="0.25">
      <c r="U21" s="707"/>
      <c r="V21" s="707"/>
    </row>
    <row r="22" spans="21:22" x14ac:dyDescent="0.25">
      <c r="U22" s="707"/>
      <c r="V22" s="707"/>
    </row>
    <row r="23" spans="21:22" x14ac:dyDescent="0.25">
      <c r="U23" s="707"/>
      <c r="V23" s="707"/>
    </row>
    <row r="24" spans="21:22" x14ac:dyDescent="0.25">
      <c r="U24" s="707"/>
      <c r="V24" s="707"/>
    </row>
    <row r="25" spans="21:22" x14ac:dyDescent="0.25">
      <c r="U25" s="707"/>
      <c r="V25" s="707"/>
    </row>
    <row r="26" spans="21:22" x14ac:dyDescent="0.25">
      <c r="U26" s="707"/>
      <c r="V26" s="707"/>
    </row>
    <row r="27" spans="21:22" x14ac:dyDescent="0.25">
      <c r="U27" s="707"/>
      <c r="V27" s="707"/>
    </row>
    <row r="28" spans="21:22" x14ac:dyDescent="0.25">
      <c r="U28" s="707"/>
      <c r="V28" s="707"/>
    </row>
    <row r="29" spans="21:22" x14ac:dyDescent="0.25">
      <c r="U29" s="707"/>
      <c r="V29" s="707"/>
    </row>
    <row r="30" spans="21:22" x14ac:dyDescent="0.25">
      <c r="U30" s="707"/>
      <c r="V30" s="707"/>
    </row>
    <row r="31" spans="21:22" x14ac:dyDescent="0.25">
      <c r="U31" s="707"/>
      <c r="V31" s="707"/>
    </row>
    <row r="32" spans="21:22" x14ac:dyDescent="0.25">
      <c r="U32" s="707"/>
      <c r="V32" s="707"/>
    </row>
    <row r="33" spans="21:22" x14ac:dyDescent="0.25">
      <c r="U33" s="707"/>
      <c r="V33" s="707"/>
    </row>
    <row r="34" spans="21:22" x14ac:dyDescent="0.25">
      <c r="U34" s="707"/>
      <c r="V34" s="707"/>
    </row>
    <row r="35" spans="21:22" x14ac:dyDescent="0.25">
      <c r="U35" s="707"/>
      <c r="V35" s="707"/>
    </row>
    <row r="36" spans="21:22" x14ac:dyDescent="0.25">
      <c r="U36" s="707"/>
      <c r="V36" s="707"/>
    </row>
    <row r="37" spans="21:22" x14ac:dyDescent="0.25">
      <c r="U37" s="707"/>
      <c r="V37" s="707"/>
    </row>
    <row r="38" spans="21:22" x14ac:dyDescent="0.25">
      <c r="U38" s="707"/>
      <c r="V38" s="707"/>
    </row>
    <row r="39" spans="21:22" x14ac:dyDescent="0.25">
      <c r="U39" s="707"/>
      <c r="V39" s="707"/>
    </row>
    <row r="40" spans="21:22" x14ac:dyDescent="0.25">
      <c r="U40" s="707"/>
      <c r="V40" s="707"/>
    </row>
    <row r="41" spans="21:22" x14ac:dyDescent="0.25">
      <c r="U41" s="707"/>
      <c r="V41" s="707"/>
    </row>
    <row r="42" spans="21:22" x14ac:dyDescent="0.25">
      <c r="U42" s="707"/>
      <c r="V42" s="707"/>
    </row>
    <row r="43" spans="21:22" x14ac:dyDescent="0.25">
      <c r="U43" s="707"/>
      <c r="V43" s="707"/>
    </row>
    <row r="44" spans="21:22" x14ac:dyDescent="0.25">
      <c r="U44" s="707"/>
      <c r="V44" s="707"/>
    </row>
    <row r="45" spans="21:22" x14ac:dyDescent="0.25">
      <c r="U45" s="707"/>
      <c r="V45" s="707"/>
    </row>
    <row r="46" spans="21:22" x14ac:dyDescent="0.25">
      <c r="U46" s="707"/>
      <c r="V46" s="707"/>
    </row>
    <row r="47" spans="21:22" x14ac:dyDescent="0.25">
      <c r="U47" s="707"/>
      <c r="V47" s="707"/>
    </row>
    <row r="48" spans="21:22" x14ac:dyDescent="0.25">
      <c r="U48" s="707"/>
      <c r="V48" s="707"/>
    </row>
    <row r="49" spans="21:22" x14ac:dyDescent="0.25">
      <c r="U49" s="707"/>
      <c r="V49" s="707"/>
    </row>
    <row r="50" spans="21:22" x14ac:dyDescent="0.25">
      <c r="U50" s="707"/>
      <c r="V50" s="707"/>
    </row>
    <row r="51" spans="21:22" x14ac:dyDescent="0.25">
      <c r="U51" s="707"/>
      <c r="V51" s="707"/>
    </row>
    <row r="52" spans="21:22" x14ac:dyDescent="0.25">
      <c r="U52" s="707"/>
      <c r="V52" s="707"/>
    </row>
    <row r="53" spans="21:22" x14ac:dyDescent="0.25">
      <c r="U53" s="707"/>
      <c r="V53" s="707"/>
    </row>
    <row r="54" spans="21:22" x14ac:dyDescent="0.25">
      <c r="U54" s="707"/>
      <c r="V54" s="707"/>
    </row>
    <row r="55" spans="21:22" x14ac:dyDescent="0.25">
      <c r="U55" s="707"/>
      <c r="V55" s="707"/>
    </row>
    <row r="56" spans="21:22" x14ac:dyDescent="0.25">
      <c r="U56" s="707"/>
      <c r="V56" s="707"/>
    </row>
    <row r="57" spans="21:22" x14ac:dyDescent="0.25">
      <c r="U57" s="707"/>
      <c r="V57" s="707"/>
    </row>
    <row r="58" spans="21:22" x14ac:dyDescent="0.25">
      <c r="U58" s="707"/>
      <c r="V58" s="707"/>
    </row>
    <row r="59" spans="21:22" x14ac:dyDescent="0.25">
      <c r="U59" s="707"/>
      <c r="V59" s="707"/>
    </row>
    <row r="60" spans="21:22" x14ac:dyDescent="0.25">
      <c r="U60" s="707"/>
      <c r="V60" s="707"/>
    </row>
    <row r="61" spans="21:22" x14ac:dyDescent="0.25">
      <c r="U61" s="707"/>
      <c r="V61" s="707"/>
    </row>
    <row r="62" spans="21:22" x14ac:dyDescent="0.25">
      <c r="U62" s="707"/>
      <c r="V62" s="707"/>
    </row>
    <row r="63" spans="21:22" x14ac:dyDescent="0.25">
      <c r="U63" s="707"/>
      <c r="V63" s="707"/>
    </row>
    <row r="64" spans="21:22" x14ac:dyDescent="0.25">
      <c r="U64" s="707"/>
      <c r="V64" s="707"/>
    </row>
    <row r="65" spans="1:22" x14ac:dyDescent="0.25">
      <c r="U65" s="707"/>
      <c r="V65" s="707"/>
    </row>
    <row r="66" spans="1:22" x14ac:dyDescent="0.25">
      <c r="U66" s="707"/>
      <c r="V66" s="707"/>
    </row>
    <row r="67" spans="1:22" x14ac:dyDescent="0.25">
      <c r="U67" s="707"/>
      <c r="V67" s="707"/>
    </row>
    <row r="68" spans="1:22" x14ac:dyDescent="0.25">
      <c r="U68" s="707"/>
      <c r="V68" s="707"/>
    </row>
    <row r="69" spans="1:22" x14ac:dyDescent="0.25">
      <c r="U69" s="707"/>
      <c r="V69" s="707"/>
    </row>
    <row r="70" spans="1:22" x14ac:dyDescent="0.25">
      <c r="A70" s="707"/>
      <c r="B70" s="707"/>
      <c r="C70" s="707"/>
      <c r="D70" s="707"/>
      <c r="E70" s="707"/>
      <c r="F70" s="707"/>
      <c r="G70" s="707"/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  <c r="V70" s="707"/>
    </row>
    <row r="71" spans="1:22" x14ac:dyDescent="0.25">
      <c r="A71" s="707"/>
      <c r="B71" s="707"/>
      <c r="C71" s="707"/>
      <c r="D71" s="707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  <c r="V71" s="707"/>
    </row>
    <row r="72" spans="1:22" x14ac:dyDescent="0.25">
      <c r="A72" s="707"/>
      <c r="B72" s="707"/>
      <c r="C72" s="707"/>
      <c r="D72" s="707"/>
      <c r="E72" s="707"/>
      <c r="F72" s="707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  <c r="V72" s="707"/>
    </row>
    <row r="73" spans="1:22" x14ac:dyDescent="0.25">
      <c r="A73" s="707"/>
      <c r="B73" s="707"/>
      <c r="C73" s="707"/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</row>
    <row r="74" spans="1:22" x14ac:dyDescent="0.25">
      <c r="A74" s="707"/>
      <c r="B74" s="707"/>
      <c r="C74" s="707"/>
      <c r="D74" s="707"/>
      <c r="E74" s="707"/>
      <c r="F74" s="707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7"/>
    </row>
    <row r="75" spans="1:22" x14ac:dyDescent="0.25">
      <c r="A75" s="707"/>
      <c r="B75" s="707"/>
      <c r="C75" s="707"/>
      <c r="D75" s="707"/>
      <c r="E75" s="707"/>
      <c r="F75" s="707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</row>
    <row r="76" spans="1:22" x14ac:dyDescent="0.25">
      <c r="A76" s="707"/>
      <c r="B76" s="707"/>
      <c r="C76" s="707"/>
      <c r="D76" s="707"/>
      <c r="E76" s="707"/>
      <c r="F76" s="707"/>
      <c r="G76" s="707"/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  <c r="V76" s="707"/>
    </row>
    <row r="77" spans="1:22" x14ac:dyDescent="0.25">
      <c r="A77" s="707"/>
      <c r="B77" s="707"/>
      <c r="C77" s="707"/>
      <c r="D77" s="707"/>
      <c r="E77" s="707"/>
      <c r="F77" s="707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  <c r="V77" s="707"/>
    </row>
    <row r="78" spans="1:22" x14ac:dyDescent="0.25">
      <c r="A78" s="707"/>
      <c r="B78" s="707"/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</row>
    <row r="79" spans="1:22" x14ac:dyDescent="0.25">
      <c r="A79" s="707"/>
      <c r="B79" s="707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  <c r="V79" s="707"/>
    </row>
    <row r="80" spans="1:22" x14ac:dyDescent="0.25">
      <c r="A80" s="707"/>
      <c r="B80" s="707"/>
      <c r="C80" s="707"/>
      <c r="D80" s="707"/>
      <c r="E80" s="707"/>
      <c r="F80" s="707"/>
      <c r="G80" s="707"/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  <c r="V80" s="707"/>
    </row>
    <row r="81" spans="1:22" x14ac:dyDescent="0.25">
      <c r="A81" s="707"/>
      <c r="B81" s="707"/>
      <c r="C81" s="707"/>
      <c r="D81" s="707"/>
      <c r="E81" s="707"/>
      <c r="F81" s="707"/>
      <c r="G81" s="707"/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  <c r="V81" s="707"/>
    </row>
  </sheetData>
  <sheetProtection algorithmName="SHA-512" hashValue="WniM5hfuz34yUfoKESYUNG5lLFTg7Wqvw1/Eny7cdI9AYFZOLsb5k15B3dkEYvuBnqsm1fOLTheeV5sMBubvzg==" saltValue="6ZEjiG1gwY4zjOZSMUE4Ug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0970B-3F43-4326-9F43-6E1FE99DC018}">
  <sheetPr codeName="Sheet6">
    <tabColor rgb="FF00B050"/>
  </sheetPr>
  <dimension ref="A1:V142"/>
  <sheetViews>
    <sheetView showGridLines="0" showRowColHeaders="0" workbookViewId="0">
      <selection activeCell="U122" sqref="U122"/>
    </sheetView>
  </sheetViews>
  <sheetFormatPr defaultRowHeight="15" x14ac:dyDescent="0.25"/>
  <sheetData>
    <row r="1" spans="1:22" x14ac:dyDescent="0.25">
      <c r="A1" s="707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</row>
    <row r="2" spans="1:22" x14ac:dyDescent="0.25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</row>
    <row r="3" spans="1:22" x14ac:dyDescent="0.25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  <c r="V3" s="707"/>
    </row>
    <row r="4" spans="1:22" x14ac:dyDescent="0.25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</row>
    <row r="5" spans="1:22" x14ac:dyDescent="0.25">
      <c r="A5" s="707"/>
      <c r="B5" s="707"/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  <c r="V5" s="707"/>
    </row>
    <row r="6" spans="1:22" x14ac:dyDescent="0.25">
      <c r="A6" s="707"/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</row>
    <row r="7" spans="1:22" x14ac:dyDescent="0.25">
      <c r="A7" s="707"/>
      <c r="B7" s="707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</row>
    <row r="8" spans="1:22" x14ac:dyDescent="0.25">
      <c r="A8" s="707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</row>
    <row r="9" spans="1:22" x14ac:dyDescent="0.25">
      <c r="A9" s="707"/>
      <c r="B9" s="707"/>
      <c r="C9" s="707"/>
      <c r="D9" s="707"/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  <c r="V9" s="707"/>
    </row>
    <row r="10" spans="1:22" x14ac:dyDescent="0.25">
      <c r="A10" s="707"/>
      <c r="B10" s="707"/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  <c r="V10" s="707"/>
    </row>
    <row r="11" spans="1:22" x14ac:dyDescent="0.25">
      <c r="A11" s="707"/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  <c r="V11" s="707"/>
    </row>
    <row r="12" spans="1:22" x14ac:dyDescent="0.25">
      <c r="A12" s="707"/>
      <c r="B12" s="707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</row>
    <row r="13" spans="1:22" x14ac:dyDescent="0.25">
      <c r="A13" s="707"/>
      <c r="B13" s="707"/>
      <c r="C13" s="707"/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  <c r="V13" s="707"/>
    </row>
    <row r="14" spans="1:22" x14ac:dyDescent="0.25">
      <c r="A14" s="707"/>
      <c r="B14" s="707"/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</row>
    <row r="15" spans="1:22" x14ac:dyDescent="0.25">
      <c r="A15" s="707"/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</row>
    <row r="16" spans="1:22" x14ac:dyDescent="0.25">
      <c r="A16" s="707"/>
      <c r="B16" s="707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</row>
    <row r="17" spans="1:22" x14ac:dyDescent="0.25">
      <c r="A17" s="707"/>
      <c r="B17" s="707"/>
      <c r="C17" s="707"/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  <c r="V17" s="707"/>
    </row>
    <row r="18" spans="1:22" x14ac:dyDescent="0.25">
      <c r="A18" s="707"/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</row>
    <row r="19" spans="1:22" x14ac:dyDescent="0.25">
      <c r="A19" s="707"/>
      <c r="B19" s="707"/>
      <c r="C19" s="707"/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  <c r="V19" s="707"/>
    </row>
    <row r="20" spans="1:22" x14ac:dyDescent="0.25">
      <c r="A20" s="707"/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</row>
    <row r="21" spans="1:22" x14ac:dyDescent="0.25">
      <c r="A21" s="707"/>
      <c r="B21" s="707"/>
      <c r="C21" s="707"/>
      <c r="D21" s="707"/>
      <c r="E21" s="707"/>
      <c r="F21" s="707"/>
      <c r="G21" s="707"/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  <c r="V21" s="707"/>
    </row>
    <row r="22" spans="1:22" x14ac:dyDescent="0.25">
      <c r="A22" s="707"/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</row>
    <row r="23" spans="1:22" x14ac:dyDescent="0.25">
      <c r="A23" s="707"/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  <c r="V23" s="707"/>
    </row>
    <row r="24" spans="1:22" x14ac:dyDescent="0.25">
      <c r="A24" s="707"/>
      <c r="B24" s="707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</row>
    <row r="25" spans="1:22" x14ac:dyDescent="0.25">
      <c r="A25" s="707"/>
      <c r="B25" s="707"/>
      <c r="C25" s="707"/>
      <c r="D25" s="707"/>
      <c r="E25" s="707"/>
      <c r="F25" s="707"/>
      <c r="G25" s="707"/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  <c r="V25" s="707"/>
    </row>
    <row r="26" spans="1:22" x14ac:dyDescent="0.25">
      <c r="A26" s="707"/>
      <c r="B26" s="707"/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707"/>
      <c r="P26" s="707"/>
      <c r="Q26" s="707"/>
      <c r="R26" s="707"/>
      <c r="S26" s="707"/>
      <c r="T26" s="707"/>
      <c r="U26" s="707"/>
      <c r="V26" s="707"/>
    </row>
    <row r="27" spans="1:22" x14ac:dyDescent="0.25">
      <c r="A27" s="707"/>
      <c r="B27" s="707"/>
      <c r="C27" s="707"/>
      <c r="D27" s="707"/>
      <c r="E27" s="707"/>
      <c r="F27" s="707"/>
      <c r="G27" s="707"/>
      <c r="H27" s="707"/>
      <c r="I27" s="707"/>
      <c r="J27" s="707"/>
      <c r="K27" s="707"/>
      <c r="L27" s="707"/>
      <c r="M27" s="707"/>
      <c r="N27" s="707"/>
      <c r="O27" s="707"/>
      <c r="P27" s="707"/>
      <c r="Q27" s="707"/>
      <c r="R27" s="707"/>
      <c r="S27" s="707"/>
      <c r="T27" s="707"/>
      <c r="U27" s="707"/>
      <c r="V27" s="707"/>
    </row>
    <row r="28" spans="1:22" x14ac:dyDescent="0.25">
      <c r="A28" s="707"/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</row>
    <row r="29" spans="1:22" x14ac:dyDescent="0.25">
      <c r="A29" s="707"/>
      <c r="B29" s="707"/>
      <c r="C29" s="707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707"/>
      <c r="P29" s="707"/>
      <c r="Q29" s="707"/>
      <c r="R29" s="707"/>
      <c r="S29" s="707"/>
      <c r="T29" s="707"/>
      <c r="U29" s="707"/>
      <c r="V29" s="707"/>
    </row>
    <row r="30" spans="1:22" x14ac:dyDescent="0.25">
      <c r="A30" s="707"/>
      <c r="B30" s="707"/>
      <c r="C30" s="707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707"/>
      <c r="P30" s="707"/>
      <c r="Q30" s="707"/>
      <c r="R30" s="707"/>
      <c r="S30" s="707"/>
      <c r="T30" s="707"/>
      <c r="U30" s="707"/>
      <c r="V30" s="707"/>
    </row>
    <row r="31" spans="1:22" x14ac:dyDescent="0.25">
      <c r="A31" s="707"/>
      <c r="B31" s="707"/>
      <c r="C31" s="707"/>
      <c r="D31" s="707"/>
      <c r="E31" s="707"/>
      <c r="F31" s="707"/>
      <c r="G31" s="707"/>
      <c r="H31" s="707"/>
      <c r="I31" s="707"/>
      <c r="J31" s="707"/>
      <c r="K31" s="707"/>
      <c r="L31" s="707"/>
      <c r="M31" s="707"/>
      <c r="N31" s="707"/>
      <c r="O31" s="707"/>
      <c r="P31" s="707"/>
      <c r="Q31" s="707"/>
      <c r="R31" s="707"/>
      <c r="S31" s="707"/>
      <c r="T31" s="707"/>
      <c r="U31" s="707"/>
      <c r="V31" s="707"/>
    </row>
    <row r="32" spans="1:22" x14ac:dyDescent="0.25">
      <c r="A32" s="707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  <c r="V32" s="707"/>
    </row>
    <row r="33" spans="1:22" x14ac:dyDescent="0.25">
      <c r="A33" s="707"/>
      <c r="B33" s="707"/>
      <c r="C33" s="707"/>
      <c r="D33" s="707"/>
      <c r="E33" s="707"/>
      <c r="F33" s="707"/>
      <c r="G33" s="707"/>
      <c r="H33" s="707"/>
      <c r="I33" s="707"/>
      <c r="J33" s="707"/>
      <c r="K33" s="707"/>
      <c r="L33" s="707"/>
      <c r="M33" s="707"/>
      <c r="N33" s="707"/>
      <c r="O33" s="707"/>
      <c r="P33" s="707"/>
      <c r="Q33" s="707"/>
      <c r="R33" s="707"/>
      <c r="S33" s="707"/>
      <c r="T33" s="707"/>
      <c r="U33" s="707"/>
      <c r="V33" s="707"/>
    </row>
    <row r="34" spans="1:22" x14ac:dyDescent="0.25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P34" s="707"/>
      <c r="Q34" s="707"/>
      <c r="R34" s="707"/>
      <c r="S34" s="707"/>
      <c r="T34" s="707"/>
      <c r="U34" s="707"/>
      <c r="V34" s="707"/>
    </row>
    <row r="35" spans="1:22" x14ac:dyDescent="0.25">
      <c r="A35" s="707"/>
      <c r="B35" s="707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P35" s="707"/>
      <c r="Q35" s="707"/>
      <c r="R35" s="707"/>
      <c r="S35" s="707"/>
      <c r="T35" s="707"/>
      <c r="U35" s="707"/>
      <c r="V35" s="707"/>
    </row>
    <row r="36" spans="1:22" x14ac:dyDescent="0.25">
      <c r="A36" s="707"/>
      <c r="B36" s="707"/>
      <c r="C36" s="707"/>
      <c r="D36" s="707"/>
      <c r="E36" s="707"/>
      <c r="F36" s="707"/>
      <c r="G36" s="707"/>
      <c r="H36" s="707"/>
      <c r="I36" s="707"/>
      <c r="J36" s="707"/>
      <c r="K36" s="707"/>
      <c r="L36" s="707"/>
      <c r="M36" s="707"/>
      <c r="N36" s="707"/>
      <c r="O36" s="707"/>
      <c r="P36" s="707"/>
      <c r="Q36" s="707"/>
      <c r="R36" s="707"/>
      <c r="S36" s="707"/>
      <c r="T36" s="707"/>
      <c r="U36" s="707"/>
      <c r="V36" s="707"/>
    </row>
    <row r="37" spans="1:22" x14ac:dyDescent="0.25">
      <c r="A37" s="707"/>
      <c r="B37" s="707"/>
      <c r="C37" s="707"/>
      <c r="D37" s="707"/>
      <c r="E37" s="707"/>
      <c r="F37" s="707"/>
      <c r="G37" s="707"/>
      <c r="H37" s="707"/>
      <c r="I37" s="707"/>
      <c r="J37" s="707"/>
      <c r="K37" s="707"/>
      <c r="L37" s="707"/>
      <c r="M37" s="707"/>
      <c r="N37" s="707"/>
      <c r="O37" s="707"/>
      <c r="P37" s="707"/>
      <c r="Q37" s="707"/>
      <c r="R37" s="707"/>
      <c r="S37" s="707"/>
      <c r="T37" s="707"/>
      <c r="U37" s="707"/>
      <c r="V37" s="707"/>
    </row>
    <row r="38" spans="1:22" x14ac:dyDescent="0.25">
      <c r="A38" s="707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</row>
    <row r="39" spans="1:22" x14ac:dyDescent="0.25">
      <c r="A39" s="707"/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</row>
    <row r="40" spans="1:22" x14ac:dyDescent="0.25">
      <c r="A40" s="707"/>
      <c r="B40" s="707"/>
      <c r="C40" s="707"/>
      <c r="D40" s="707"/>
      <c r="E40" s="707"/>
      <c r="F40" s="707"/>
      <c r="G40" s="707"/>
      <c r="H40" s="707"/>
      <c r="I40" s="707"/>
      <c r="J40" s="707"/>
      <c r="K40" s="707"/>
      <c r="L40" s="707"/>
      <c r="M40" s="707"/>
      <c r="N40" s="707"/>
      <c r="O40" s="707"/>
      <c r="P40" s="707"/>
      <c r="Q40" s="707"/>
      <c r="R40" s="707"/>
      <c r="S40" s="707"/>
      <c r="T40" s="707"/>
      <c r="U40" s="707"/>
      <c r="V40" s="707"/>
    </row>
    <row r="41" spans="1:22" x14ac:dyDescent="0.25">
      <c r="A41" s="707"/>
      <c r="B41" s="707"/>
      <c r="C41" s="707"/>
      <c r="D41" s="707"/>
      <c r="E41" s="707"/>
      <c r="F41" s="707"/>
      <c r="G41" s="707"/>
      <c r="H41" s="707"/>
      <c r="I41" s="707"/>
      <c r="J41" s="707"/>
      <c r="K41" s="707"/>
      <c r="L41" s="707"/>
      <c r="M41" s="707"/>
      <c r="N41" s="707"/>
      <c r="O41" s="707"/>
      <c r="P41" s="707"/>
      <c r="Q41" s="707"/>
      <c r="R41" s="707"/>
      <c r="S41" s="707"/>
      <c r="T41" s="707"/>
      <c r="U41" s="707"/>
      <c r="V41" s="707"/>
    </row>
    <row r="42" spans="1:22" x14ac:dyDescent="0.25">
      <c r="A42" s="707"/>
      <c r="B42" s="707"/>
      <c r="C42" s="707"/>
      <c r="D42" s="707"/>
      <c r="E42" s="707"/>
      <c r="F42" s="707"/>
      <c r="G42" s="707"/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  <c r="V42" s="707"/>
    </row>
    <row r="43" spans="1:22" x14ac:dyDescent="0.25">
      <c r="A43" s="707"/>
      <c r="B43" s="707"/>
      <c r="C43" s="707"/>
      <c r="D43" s="707"/>
      <c r="E43" s="707"/>
      <c r="F43" s="707"/>
      <c r="G43" s="707"/>
      <c r="H43" s="707"/>
      <c r="I43" s="707"/>
      <c r="J43" s="707"/>
      <c r="K43" s="707"/>
      <c r="L43" s="707"/>
      <c r="M43" s="707"/>
      <c r="N43" s="707"/>
      <c r="O43" s="707"/>
      <c r="P43" s="707"/>
      <c r="Q43" s="707"/>
      <c r="R43" s="707"/>
      <c r="S43" s="707"/>
      <c r="T43" s="707"/>
      <c r="U43" s="707"/>
      <c r="V43" s="707"/>
    </row>
    <row r="44" spans="1:22" x14ac:dyDescent="0.25">
      <c r="A44" s="707"/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</row>
    <row r="45" spans="1:22" x14ac:dyDescent="0.25">
      <c r="A45" s="707"/>
      <c r="B45" s="707"/>
      <c r="C45" s="707"/>
      <c r="D45" s="707"/>
      <c r="E45" s="707"/>
      <c r="F45" s="707"/>
      <c r="G45" s="707"/>
      <c r="H45" s="707"/>
      <c r="I45" s="707"/>
      <c r="J45" s="707"/>
      <c r="K45" s="707"/>
      <c r="L45" s="707"/>
      <c r="M45" s="707"/>
      <c r="N45" s="707"/>
      <c r="O45" s="707"/>
      <c r="P45" s="707"/>
      <c r="Q45" s="707"/>
      <c r="R45" s="707"/>
      <c r="S45" s="707"/>
      <c r="T45" s="707"/>
      <c r="U45" s="707"/>
      <c r="V45" s="707"/>
    </row>
    <row r="46" spans="1:22" x14ac:dyDescent="0.25">
      <c r="A46" s="707"/>
      <c r="B46" s="707"/>
      <c r="C46" s="707"/>
      <c r="D46" s="707"/>
      <c r="E46" s="707"/>
      <c r="F46" s="707"/>
      <c r="G46" s="707"/>
      <c r="H46" s="707"/>
      <c r="I46" s="707"/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</row>
    <row r="47" spans="1:22" x14ac:dyDescent="0.25">
      <c r="A47" s="707"/>
      <c r="B47" s="707"/>
      <c r="C47" s="707"/>
      <c r="D47" s="707"/>
      <c r="E47" s="707"/>
      <c r="F47" s="707"/>
      <c r="G47" s="707"/>
      <c r="H47" s="707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</row>
    <row r="48" spans="1:22" x14ac:dyDescent="0.25">
      <c r="A48" s="707"/>
      <c r="B48" s="707"/>
      <c r="C48" s="707"/>
      <c r="D48" s="707"/>
      <c r="E48" s="707"/>
      <c r="F48" s="707"/>
      <c r="G48" s="707"/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  <c r="V48" s="707"/>
    </row>
    <row r="49" spans="1:22" x14ac:dyDescent="0.25">
      <c r="A49" s="707"/>
      <c r="B49" s="707"/>
      <c r="C49" s="707"/>
      <c r="D49" s="707"/>
      <c r="E49" s="707"/>
      <c r="F49" s="707"/>
      <c r="G49" s="707"/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  <c r="V49" s="707"/>
    </row>
    <row r="50" spans="1:22" x14ac:dyDescent="0.25">
      <c r="A50" s="707"/>
      <c r="B50" s="707"/>
      <c r="C50" s="707"/>
      <c r="D50" s="707"/>
      <c r="E50" s="707"/>
      <c r="F50" s="707"/>
      <c r="G50" s="707"/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  <c r="V50" s="707"/>
    </row>
    <row r="51" spans="1:22" x14ac:dyDescent="0.25">
      <c r="A51" s="707"/>
      <c r="B51" s="707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  <c r="P51" s="707"/>
      <c r="Q51" s="707"/>
      <c r="R51" s="707"/>
      <c r="S51" s="707"/>
      <c r="T51" s="707"/>
      <c r="U51" s="707"/>
      <c r="V51" s="707"/>
    </row>
    <row r="52" spans="1:22" x14ac:dyDescent="0.25">
      <c r="A52" s="707"/>
      <c r="B52" s="707"/>
      <c r="C52" s="707"/>
      <c r="D52" s="707"/>
      <c r="E52" s="707"/>
      <c r="F52" s="707"/>
      <c r="G52" s="707"/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  <c r="V52" s="707"/>
    </row>
    <row r="53" spans="1:22" x14ac:dyDescent="0.25">
      <c r="A53" s="707"/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</row>
    <row r="54" spans="1:22" x14ac:dyDescent="0.25">
      <c r="A54" s="707"/>
      <c r="B54" s="707"/>
      <c r="C54" s="707"/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707"/>
    </row>
    <row r="55" spans="1:22" x14ac:dyDescent="0.25">
      <c r="A55" s="707"/>
      <c r="B55" s="707"/>
      <c r="C55" s="707"/>
      <c r="D55" s="707"/>
      <c r="E55" s="707"/>
      <c r="F55" s="707"/>
      <c r="G55" s="707"/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707"/>
    </row>
    <row r="56" spans="1:22" x14ac:dyDescent="0.25">
      <c r="A56" s="707"/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</row>
    <row r="57" spans="1:22" x14ac:dyDescent="0.25">
      <c r="A57" s="707"/>
      <c r="B57" s="707"/>
      <c r="C57" s="707"/>
      <c r="D57" s="707"/>
      <c r="E57" s="707"/>
      <c r="F57" s="707"/>
      <c r="G57" s="707"/>
      <c r="H57" s="707"/>
      <c r="I57" s="707"/>
      <c r="J57" s="707"/>
      <c r="K57" s="707"/>
      <c r="L57" s="707"/>
      <c r="M57" s="707"/>
      <c r="N57" s="707"/>
      <c r="O57" s="707"/>
      <c r="P57" s="707"/>
      <c r="Q57" s="707"/>
      <c r="R57" s="707"/>
      <c r="S57" s="707"/>
      <c r="T57" s="707"/>
      <c r="U57" s="707"/>
      <c r="V57" s="707"/>
    </row>
    <row r="58" spans="1:22" x14ac:dyDescent="0.25">
      <c r="A58" s="707"/>
      <c r="B58" s="707"/>
      <c r="C58" s="707"/>
      <c r="D58" s="707"/>
      <c r="E58" s="707"/>
      <c r="F58" s="707"/>
      <c r="G58" s="707"/>
      <c r="H58" s="707"/>
      <c r="I58" s="707"/>
      <c r="J58" s="707"/>
      <c r="K58" s="707"/>
      <c r="L58" s="707"/>
      <c r="M58" s="707"/>
      <c r="N58" s="707"/>
      <c r="O58" s="707"/>
      <c r="P58" s="707"/>
      <c r="Q58" s="707"/>
      <c r="R58" s="707"/>
      <c r="S58" s="707"/>
      <c r="T58" s="707"/>
      <c r="U58" s="707"/>
      <c r="V58" s="707"/>
    </row>
    <row r="59" spans="1:22" x14ac:dyDescent="0.25">
      <c r="A59" s="707"/>
      <c r="B59" s="707"/>
      <c r="C59" s="707"/>
      <c r="D59" s="707"/>
      <c r="E59" s="707"/>
      <c r="F59" s="707"/>
      <c r="G59" s="707"/>
      <c r="H59" s="707"/>
      <c r="I59" s="707"/>
      <c r="J59" s="707"/>
      <c r="K59" s="707"/>
      <c r="L59" s="707"/>
      <c r="M59" s="707"/>
      <c r="N59" s="707"/>
      <c r="O59" s="707"/>
      <c r="P59" s="707"/>
      <c r="Q59" s="707"/>
      <c r="R59" s="707"/>
      <c r="S59" s="707"/>
      <c r="T59" s="707"/>
      <c r="U59" s="707"/>
      <c r="V59" s="707"/>
    </row>
    <row r="60" spans="1:22" x14ac:dyDescent="0.25">
      <c r="A60" s="707"/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</row>
    <row r="61" spans="1:22" x14ac:dyDescent="0.25">
      <c r="A61" s="707"/>
      <c r="B61" s="707"/>
      <c r="C61" s="707"/>
      <c r="D61" s="707"/>
      <c r="E61" s="707"/>
      <c r="F61" s="707"/>
      <c r="G61" s="707"/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</row>
    <row r="62" spans="1:22" x14ac:dyDescent="0.25">
      <c r="A62" s="707"/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</row>
    <row r="63" spans="1:22" x14ac:dyDescent="0.25">
      <c r="A63" s="707"/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</row>
    <row r="64" spans="1:22" x14ac:dyDescent="0.25">
      <c r="A64" s="707"/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</row>
    <row r="65" spans="1:22" x14ac:dyDescent="0.25">
      <c r="A65" s="707"/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</row>
    <row r="66" spans="1:22" x14ac:dyDescent="0.25">
      <c r="A66" s="707"/>
      <c r="B66" s="707"/>
      <c r="C66" s="707"/>
      <c r="D66" s="707"/>
      <c r="E66" s="707"/>
      <c r="F66" s="707"/>
      <c r="G66" s="707"/>
      <c r="H66" s="707"/>
      <c r="I66" s="707"/>
      <c r="J66" s="707"/>
      <c r="K66" s="707"/>
      <c r="L66" s="707"/>
      <c r="M66" s="707"/>
      <c r="N66" s="707"/>
      <c r="O66" s="707"/>
      <c r="P66" s="707"/>
      <c r="Q66" s="707"/>
      <c r="R66" s="707"/>
      <c r="S66" s="707"/>
      <c r="T66" s="707"/>
      <c r="U66" s="707"/>
      <c r="V66" s="707"/>
    </row>
    <row r="67" spans="1:22" x14ac:dyDescent="0.25">
      <c r="A67" s="707"/>
      <c r="B67" s="707"/>
      <c r="C67" s="707"/>
      <c r="D67" s="707"/>
      <c r="E67" s="707"/>
      <c r="F67" s="707"/>
      <c r="G67" s="707"/>
      <c r="H67" s="707"/>
      <c r="I67" s="707"/>
      <c r="J67" s="707"/>
      <c r="K67" s="707"/>
      <c r="L67" s="707"/>
      <c r="M67" s="707"/>
      <c r="N67" s="707"/>
      <c r="O67" s="707"/>
      <c r="P67" s="707"/>
      <c r="Q67" s="707"/>
      <c r="R67" s="707"/>
      <c r="S67" s="707"/>
      <c r="T67" s="707"/>
      <c r="U67" s="707"/>
      <c r="V67" s="707"/>
    </row>
    <row r="68" spans="1:22" x14ac:dyDescent="0.25">
      <c r="A68" s="707"/>
      <c r="B68" s="707"/>
      <c r="C68" s="707"/>
      <c r="D68" s="707"/>
      <c r="E68" s="707"/>
      <c r="F68" s="707"/>
      <c r="G68" s="707"/>
      <c r="H68" s="707"/>
      <c r="I68" s="707"/>
      <c r="J68" s="707"/>
      <c r="K68" s="707"/>
      <c r="L68" s="707"/>
      <c r="M68" s="707"/>
      <c r="N68" s="707"/>
      <c r="O68" s="707"/>
      <c r="P68" s="707"/>
      <c r="Q68" s="707"/>
      <c r="R68" s="707"/>
      <c r="S68" s="707"/>
      <c r="T68" s="707"/>
      <c r="U68" s="707"/>
      <c r="V68" s="707"/>
    </row>
    <row r="69" spans="1:22" x14ac:dyDescent="0.25">
      <c r="A69" s="707"/>
      <c r="B69" s="707"/>
      <c r="C69" s="707"/>
      <c r="D69" s="707"/>
      <c r="E69" s="707"/>
      <c r="F69" s="707"/>
      <c r="G69" s="707"/>
      <c r="H69" s="707"/>
      <c r="I69" s="707"/>
      <c r="J69" s="707"/>
      <c r="K69" s="707"/>
      <c r="L69" s="707"/>
      <c r="M69" s="707"/>
      <c r="N69" s="707"/>
      <c r="O69" s="707"/>
      <c r="P69" s="707"/>
      <c r="Q69" s="707"/>
      <c r="R69" s="707"/>
      <c r="S69" s="707"/>
      <c r="T69" s="707"/>
      <c r="U69" s="707"/>
      <c r="V69" s="707"/>
    </row>
    <row r="70" spans="1:22" x14ac:dyDescent="0.25">
      <c r="A70" s="707"/>
      <c r="B70" s="707"/>
      <c r="C70" s="707"/>
      <c r="D70" s="707"/>
      <c r="E70" s="707"/>
      <c r="F70" s="707"/>
      <c r="G70" s="707"/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  <c r="V70" s="707"/>
    </row>
    <row r="71" spans="1:22" x14ac:dyDescent="0.25">
      <c r="A71" s="707"/>
      <c r="B71" s="707"/>
      <c r="C71" s="707"/>
      <c r="D71" s="707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  <c r="V71" s="707"/>
    </row>
    <row r="72" spans="1:22" x14ac:dyDescent="0.25">
      <c r="A72" s="707"/>
      <c r="B72" s="707"/>
      <c r="C72" s="707"/>
      <c r="D72" s="707"/>
      <c r="E72" s="707"/>
      <c r="F72" s="707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  <c r="V72" s="707"/>
    </row>
    <row r="73" spans="1:22" x14ac:dyDescent="0.25">
      <c r="A73" s="707"/>
      <c r="B73" s="707"/>
      <c r="C73" s="707"/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</row>
    <row r="74" spans="1:22" x14ac:dyDescent="0.25">
      <c r="A74" s="707"/>
      <c r="B74" s="707"/>
      <c r="C74" s="707"/>
      <c r="D74" s="707"/>
      <c r="E74" s="707"/>
      <c r="F74" s="707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7"/>
    </row>
    <row r="75" spans="1:22" x14ac:dyDescent="0.25">
      <c r="A75" s="707"/>
      <c r="B75" s="707"/>
      <c r="C75" s="707"/>
      <c r="D75" s="707"/>
      <c r="E75" s="707"/>
      <c r="F75" s="707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</row>
    <row r="76" spans="1:22" x14ac:dyDescent="0.25">
      <c r="A76" s="707"/>
      <c r="B76" s="707"/>
      <c r="C76" s="707"/>
      <c r="D76" s="707"/>
      <c r="E76" s="707"/>
      <c r="F76" s="707"/>
      <c r="G76" s="707"/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  <c r="V76" s="707"/>
    </row>
    <row r="77" spans="1:22" x14ac:dyDescent="0.25">
      <c r="A77" s="707"/>
      <c r="B77" s="707"/>
      <c r="C77" s="707"/>
      <c r="D77" s="707"/>
      <c r="E77" s="707"/>
      <c r="F77" s="707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  <c r="V77" s="707"/>
    </row>
    <row r="78" spans="1:22" x14ac:dyDescent="0.25">
      <c r="A78" s="707"/>
      <c r="B78" s="707"/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</row>
    <row r="79" spans="1:22" x14ac:dyDescent="0.25">
      <c r="A79" s="707"/>
      <c r="B79" s="707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  <c r="V79" s="707"/>
    </row>
    <row r="80" spans="1:22" x14ac:dyDescent="0.25">
      <c r="A80" s="707"/>
      <c r="B80" s="707"/>
      <c r="C80" s="707"/>
      <c r="D80" s="707"/>
      <c r="E80" s="707"/>
      <c r="F80" s="707"/>
      <c r="G80" s="707"/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  <c r="V80" s="707"/>
    </row>
    <row r="81" spans="1:22" x14ac:dyDescent="0.25">
      <c r="A81" s="707"/>
      <c r="B81" s="707"/>
      <c r="C81" s="707"/>
      <c r="D81" s="707"/>
      <c r="E81" s="707"/>
      <c r="F81" s="707"/>
      <c r="G81" s="707"/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  <c r="V81" s="707"/>
    </row>
    <row r="82" spans="1:22" x14ac:dyDescent="0.25">
      <c r="A82" s="707"/>
      <c r="B82" s="707"/>
      <c r="C82" s="707"/>
      <c r="D82" s="707"/>
      <c r="E82" s="707"/>
      <c r="F82" s="707"/>
      <c r="G82" s="707"/>
      <c r="H82" s="707"/>
      <c r="I82" s="707"/>
      <c r="J82" s="707"/>
      <c r="K82" s="707"/>
      <c r="L82" s="707"/>
      <c r="M82" s="707"/>
      <c r="N82" s="707"/>
      <c r="O82" s="707"/>
      <c r="P82" s="707"/>
      <c r="Q82" s="707"/>
      <c r="R82" s="707"/>
      <c r="S82" s="707"/>
      <c r="T82" s="707"/>
      <c r="U82" s="707"/>
      <c r="V82" s="707"/>
    </row>
    <row r="83" spans="1:22" x14ac:dyDescent="0.25">
      <c r="A83" s="707"/>
      <c r="B83" s="707"/>
      <c r="C83" s="707"/>
      <c r="D83" s="707"/>
      <c r="E83" s="707"/>
      <c r="F83" s="707"/>
      <c r="G83" s="707"/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  <c r="V83" s="707"/>
    </row>
    <row r="84" spans="1:22" x14ac:dyDescent="0.25">
      <c r="A84" s="707"/>
      <c r="B84" s="707"/>
      <c r="C84" s="707"/>
      <c r="D84" s="707"/>
      <c r="E84" s="707"/>
      <c r="F84" s="707"/>
      <c r="G84" s="707"/>
      <c r="H84" s="707"/>
      <c r="I84" s="707"/>
      <c r="J84" s="707"/>
      <c r="K84" s="707"/>
      <c r="L84" s="707"/>
      <c r="M84" s="707"/>
      <c r="N84" s="707"/>
      <c r="O84" s="707"/>
      <c r="P84" s="707"/>
      <c r="Q84" s="707"/>
      <c r="R84" s="707"/>
      <c r="S84" s="707"/>
      <c r="T84" s="707"/>
      <c r="U84" s="707"/>
      <c r="V84" s="707"/>
    </row>
    <row r="85" spans="1:22" x14ac:dyDescent="0.25">
      <c r="A85" s="707"/>
      <c r="B85" s="707"/>
      <c r="C85" s="707"/>
      <c r="D85" s="707"/>
      <c r="E85" s="707"/>
      <c r="F85" s="707"/>
      <c r="G85" s="707"/>
      <c r="H85" s="707"/>
      <c r="I85" s="707"/>
      <c r="J85" s="707"/>
      <c r="K85" s="707"/>
      <c r="L85" s="707"/>
      <c r="M85" s="707"/>
      <c r="N85" s="707"/>
      <c r="O85" s="707"/>
      <c r="P85" s="707"/>
      <c r="Q85" s="707"/>
      <c r="R85" s="707"/>
      <c r="S85" s="707"/>
      <c r="T85" s="707"/>
      <c r="U85" s="707"/>
      <c r="V85" s="707"/>
    </row>
    <row r="86" spans="1:22" x14ac:dyDescent="0.25">
      <c r="A86" s="707"/>
      <c r="B86" s="707"/>
      <c r="C86" s="707"/>
      <c r="D86" s="707"/>
      <c r="E86" s="707"/>
      <c r="F86" s="707"/>
      <c r="G86" s="707"/>
      <c r="H86" s="707"/>
      <c r="I86" s="707"/>
      <c r="J86" s="707"/>
      <c r="K86" s="707"/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</row>
    <row r="87" spans="1:22" x14ac:dyDescent="0.25">
      <c r="A87" s="707"/>
      <c r="B87" s="707"/>
      <c r="C87" s="707"/>
      <c r="D87" s="707"/>
      <c r="E87" s="707"/>
      <c r="F87" s="707"/>
      <c r="G87" s="707"/>
      <c r="H87" s="707"/>
      <c r="I87" s="707"/>
      <c r="J87" s="707"/>
      <c r="K87" s="707"/>
      <c r="L87" s="707"/>
      <c r="M87" s="707"/>
      <c r="N87" s="707"/>
      <c r="O87" s="707"/>
      <c r="P87" s="707"/>
      <c r="Q87" s="707"/>
      <c r="R87" s="707"/>
      <c r="S87" s="707"/>
      <c r="T87" s="707"/>
      <c r="U87" s="707"/>
      <c r="V87" s="707"/>
    </row>
    <row r="88" spans="1:22" x14ac:dyDescent="0.25">
      <c r="A88" s="707"/>
      <c r="B88" s="707"/>
      <c r="C88" s="707"/>
      <c r="D88" s="707"/>
      <c r="E88" s="707"/>
      <c r="F88" s="707"/>
      <c r="G88" s="707"/>
      <c r="H88" s="707"/>
      <c r="I88" s="707"/>
      <c r="J88" s="707"/>
      <c r="K88" s="707"/>
      <c r="L88" s="707"/>
      <c r="M88" s="707"/>
      <c r="N88" s="707"/>
      <c r="O88" s="707"/>
      <c r="P88" s="707"/>
      <c r="Q88" s="707"/>
      <c r="R88" s="707"/>
      <c r="S88" s="707"/>
      <c r="T88" s="707"/>
      <c r="U88" s="707"/>
      <c r="V88" s="707"/>
    </row>
    <row r="89" spans="1:22" x14ac:dyDescent="0.25">
      <c r="A89" s="707"/>
      <c r="B89" s="707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  <c r="P89" s="707"/>
      <c r="Q89" s="707"/>
      <c r="R89" s="707"/>
      <c r="S89" s="707"/>
      <c r="T89" s="707"/>
      <c r="U89" s="707"/>
      <c r="V89" s="707"/>
    </row>
    <row r="90" spans="1:22" x14ac:dyDescent="0.25">
      <c r="A90" s="707"/>
      <c r="B90" s="707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  <c r="P90" s="707"/>
      <c r="Q90" s="707"/>
      <c r="R90" s="707"/>
      <c r="S90" s="707"/>
      <c r="T90" s="707"/>
      <c r="U90" s="707"/>
      <c r="V90" s="707"/>
    </row>
    <row r="91" spans="1:22" x14ac:dyDescent="0.25">
      <c r="A91" s="707"/>
      <c r="B91" s="707"/>
      <c r="C91" s="707"/>
      <c r="D91" s="707"/>
      <c r="E91" s="707"/>
      <c r="F91" s="707"/>
      <c r="G91" s="707"/>
      <c r="H91" s="707"/>
      <c r="I91" s="707"/>
      <c r="J91" s="707"/>
      <c r="K91" s="707"/>
      <c r="L91" s="707"/>
      <c r="M91" s="707"/>
      <c r="N91" s="707"/>
      <c r="O91" s="707"/>
      <c r="P91" s="707"/>
      <c r="Q91" s="707"/>
      <c r="R91" s="707"/>
      <c r="S91" s="707"/>
      <c r="T91" s="707"/>
      <c r="U91" s="707"/>
      <c r="V91" s="707"/>
    </row>
    <row r="92" spans="1:22" x14ac:dyDescent="0.25">
      <c r="A92" s="707"/>
      <c r="B92" s="707"/>
      <c r="C92" s="707"/>
      <c r="D92" s="707"/>
      <c r="E92" s="707"/>
      <c r="F92" s="707"/>
      <c r="G92" s="707"/>
      <c r="H92" s="707"/>
      <c r="I92" s="707"/>
      <c r="J92" s="707"/>
      <c r="K92" s="707"/>
      <c r="L92" s="707"/>
      <c r="M92" s="707"/>
      <c r="N92" s="707"/>
      <c r="O92" s="707"/>
      <c r="P92" s="707"/>
      <c r="Q92" s="707"/>
      <c r="R92" s="707"/>
      <c r="S92" s="707"/>
      <c r="T92" s="707"/>
      <c r="U92" s="707"/>
      <c r="V92" s="707"/>
    </row>
    <row r="93" spans="1:22" x14ac:dyDescent="0.25">
      <c r="A93" s="707"/>
      <c r="B93" s="707"/>
      <c r="C93" s="707"/>
      <c r="D93" s="707"/>
      <c r="E93" s="707"/>
      <c r="F93" s="707"/>
      <c r="G93" s="707"/>
      <c r="H93" s="707"/>
      <c r="I93" s="707"/>
      <c r="J93" s="707"/>
      <c r="K93" s="707"/>
      <c r="L93" s="707"/>
      <c r="M93" s="707"/>
      <c r="N93" s="707"/>
      <c r="O93" s="707"/>
      <c r="P93" s="707"/>
      <c r="Q93" s="707"/>
      <c r="R93" s="707"/>
      <c r="S93" s="707"/>
      <c r="T93" s="707"/>
      <c r="U93" s="707"/>
      <c r="V93" s="707"/>
    </row>
    <row r="94" spans="1:22" x14ac:dyDescent="0.25">
      <c r="A94" s="707"/>
      <c r="B94" s="707"/>
      <c r="C94" s="707"/>
      <c r="D94" s="707"/>
      <c r="E94" s="707"/>
      <c r="F94" s="707"/>
      <c r="G94" s="707"/>
      <c r="H94" s="707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</row>
    <row r="95" spans="1:22" x14ac:dyDescent="0.25">
      <c r="A95" s="707"/>
      <c r="B95" s="707"/>
      <c r="C95" s="707"/>
      <c r="D95" s="707"/>
      <c r="E95" s="707"/>
      <c r="F95" s="707"/>
      <c r="G95" s="707"/>
      <c r="H95" s="707"/>
      <c r="I95" s="707"/>
      <c r="J95" s="707"/>
      <c r="K95" s="707"/>
      <c r="L95" s="707"/>
      <c r="M95" s="707"/>
      <c r="N95" s="707"/>
      <c r="O95" s="707"/>
      <c r="P95" s="707"/>
      <c r="Q95" s="707"/>
      <c r="R95" s="707"/>
      <c r="S95" s="707"/>
      <c r="T95" s="707"/>
      <c r="U95" s="707"/>
      <c r="V95" s="707"/>
    </row>
    <row r="96" spans="1:22" x14ac:dyDescent="0.25">
      <c r="A96" s="707"/>
      <c r="B96" s="707"/>
      <c r="C96" s="707"/>
      <c r="D96" s="707"/>
      <c r="E96" s="707"/>
      <c r="F96" s="707"/>
      <c r="G96" s="707"/>
      <c r="H96" s="707"/>
      <c r="I96" s="707"/>
      <c r="J96" s="707"/>
      <c r="K96" s="707"/>
      <c r="L96" s="707"/>
      <c r="M96" s="707"/>
      <c r="N96" s="707"/>
      <c r="O96" s="707"/>
      <c r="P96" s="707"/>
      <c r="Q96" s="707"/>
      <c r="R96" s="707"/>
      <c r="S96" s="707"/>
      <c r="T96" s="707"/>
      <c r="U96" s="707"/>
      <c r="V96" s="707"/>
    </row>
    <row r="97" spans="1:22" x14ac:dyDescent="0.25">
      <c r="A97" s="707"/>
      <c r="B97" s="707"/>
      <c r="C97" s="707"/>
      <c r="D97" s="707"/>
      <c r="E97" s="707"/>
      <c r="F97" s="707"/>
      <c r="G97" s="707"/>
      <c r="H97" s="707"/>
      <c r="I97" s="707"/>
      <c r="J97" s="707"/>
      <c r="K97" s="707"/>
      <c r="L97" s="707"/>
      <c r="M97" s="707"/>
      <c r="N97" s="707"/>
      <c r="O97" s="707"/>
      <c r="P97" s="707"/>
      <c r="Q97" s="707"/>
      <c r="R97" s="707"/>
      <c r="S97" s="707"/>
      <c r="T97" s="707"/>
      <c r="U97" s="707"/>
      <c r="V97" s="707"/>
    </row>
    <row r="98" spans="1:22" x14ac:dyDescent="0.25">
      <c r="A98" s="707"/>
      <c r="B98" s="707"/>
      <c r="C98" s="707"/>
      <c r="D98" s="707"/>
      <c r="E98" s="707"/>
      <c r="F98" s="707"/>
      <c r="G98" s="707"/>
      <c r="H98" s="707"/>
      <c r="I98" s="707"/>
      <c r="J98" s="707"/>
      <c r="K98" s="707"/>
      <c r="L98" s="707"/>
      <c r="M98" s="707"/>
      <c r="N98" s="707"/>
      <c r="O98" s="707"/>
      <c r="P98" s="707"/>
      <c r="Q98" s="707"/>
      <c r="R98" s="707"/>
      <c r="S98" s="707"/>
      <c r="T98" s="707"/>
      <c r="U98" s="707"/>
      <c r="V98" s="707"/>
    </row>
    <row r="99" spans="1:22" x14ac:dyDescent="0.25">
      <c r="A99" s="707"/>
      <c r="B99" s="707"/>
      <c r="C99" s="707"/>
      <c r="D99" s="707"/>
      <c r="E99" s="707"/>
      <c r="F99" s="707"/>
      <c r="G99" s="707"/>
      <c r="H99" s="707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7"/>
      <c r="T99" s="707"/>
      <c r="U99" s="707"/>
      <c r="V99" s="707"/>
    </row>
    <row r="100" spans="1:22" x14ac:dyDescent="0.25">
      <c r="A100" s="707"/>
      <c r="B100" s="707"/>
      <c r="C100" s="707"/>
      <c r="D100" s="707"/>
      <c r="E100" s="707"/>
      <c r="F100" s="707"/>
      <c r="G100" s="707"/>
      <c r="H100" s="707"/>
      <c r="I100" s="707"/>
      <c r="J100" s="707"/>
      <c r="K100" s="707"/>
      <c r="L100" s="707"/>
      <c r="M100" s="707"/>
      <c r="N100" s="707"/>
      <c r="O100" s="707"/>
      <c r="P100" s="707"/>
      <c r="Q100" s="707"/>
      <c r="R100" s="707"/>
      <c r="S100" s="707"/>
      <c r="T100" s="707"/>
      <c r="U100" s="707"/>
      <c r="V100" s="707"/>
    </row>
    <row r="101" spans="1:22" x14ac:dyDescent="0.25">
      <c r="A101" s="707"/>
      <c r="B101" s="707"/>
      <c r="C101" s="707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  <c r="V101" s="707"/>
    </row>
    <row r="102" spans="1:22" x14ac:dyDescent="0.25">
      <c r="A102" s="707"/>
      <c r="B102" s="707"/>
      <c r="C102" s="707"/>
      <c r="D102" s="707"/>
      <c r="E102" s="707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  <c r="V102" s="707"/>
    </row>
    <row r="103" spans="1:22" x14ac:dyDescent="0.25">
      <c r="A103" s="707"/>
      <c r="B103" s="707"/>
      <c r="C103" s="707"/>
      <c r="D103" s="707"/>
      <c r="E103" s="707"/>
      <c r="F103" s="707"/>
      <c r="G103" s="707"/>
      <c r="H103" s="707"/>
      <c r="I103" s="707"/>
      <c r="J103" s="707"/>
      <c r="K103" s="707"/>
      <c r="L103" s="707"/>
      <c r="M103" s="707"/>
      <c r="N103" s="707"/>
      <c r="O103" s="707"/>
      <c r="P103" s="707"/>
      <c r="Q103" s="707"/>
      <c r="R103" s="707"/>
      <c r="S103" s="707"/>
      <c r="T103" s="707"/>
      <c r="U103" s="707"/>
      <c r="V103" s="707"/>
    </row>
    <row r="104" spans="1:22" x14ac:dyDescent="0.25">
      <c r="A104" s="707"/>
      <c r="B104" s="707"/>
      <c r="C104" s="707"/>
      <c r="D104" s="707"/>
      <c r="E104" s="707"/>
      <c r="F104" s="707"/>
      <c r="G104" s="707"/>
      <c r="H104" s="707"/>
      <c r="I104" s="707"/>
      <c r="J104" s="707"/>
      <c r="K104" s="707"/>
      <c r="L104" s="707"/>
      <c r="M104" s="707"/>
      <c r="N104" s="707"/>
      <c r="O104" s="707"/>
      <c r="P104" s="707"/>
      <c r="Q104" s="707"/>
      <c r="R104" s="707"/>
      <c r="S104" s="707"/>
      <c r="T104" s="707"/>
      <c r="U104" s="707"/>
      <c r="V104" s="707"/>
    </row>
    <row r="105" spans="1:22" x14ac:dyDescent="0.25">
      <c r="A105" s="707"/>
      <c r="B105" s="707"/>
      <c r="C105" s="707"/>
      <c r="D105" s="707"/>
      <c r="E105" s="707"/>
      <c r="F105" s="707"/>
      <c r="G105" s="707"/>
      <c r="H105" s="707"/>
      <c r="I105" s="707"/>
      <c r="J105" s="707"/>
      <c r="K105" s="707"/>
      <c r="L105" s="707"/>
      <c r="M105" s="707"/>
      <c r="N105" s="707"/>
      <c r="O105" s="707"/>
      <c r="P105" s="707"/>
      <c r="Q105" s="707"/>
      <c r="R105" s="707"/>
      <c r="S105" s="707"/>
      <c r="T105" s="707"/>
      <c r="U105" s="707"/>
      <c r="V105" s="707"/>
    </row>
    <row r="106" spans="1:22" x14ac:dyDescent="0.25">
      <c r="A106" s="707"/>
      <c r="B106" s="707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  <c r="P106" s="707"/>
      <c r="Q106" s="707"/>
      <c r="R106" s="707"/>
      <c r="S106" s="707"/>
      <c r="T106" s="707"/>
      <c r="U106" s="707"/>
      <c r="V106" s="707"/>
    </row>
    <row r="107" spans="1:22" x14ac:dyDescent="0.25">
      <c r="A107" s="707"/>
      <c r="B107" s="707"/>
      <c r="C107" s="707"/>
      <c r="D107" s="707"/>
      <c r="E107" s="707"/>
      <c r="F107" s="707"/>
      <c r="G107" s="707"/>
      <c r="H107" s="707"/>
      <c r="I107" s="707"/>
      <c r="J107" s="707"/>
      <c r="K107" s="707"/>
      <c r="L107" s="707"/>
      <c r="M107" s="707"/>
      <c r="N107" s="707"/>
      <c r="O107" s="707"/>
      <c r="P107" s="707"/>
      <c r="Q107" s="707"/>
      <c r="R107" s="707"/>
      <c r="S107" s="707"/>
      <c r="T107" s="707"/>
      <c r="U107" s="707"/>
      <c r="V107" s="707"/>
    </row>
    <row r="108" spans="1:22" x14ac:dyDescent="0.25">
      <c r="A108" s="707"/>
      <c r="B108" s="707"/>
      <c r="C108" s="707"/>
      <c r="D108" s="707"/>
      <c r="E108" s="707"/>
      <c r="F108" s="707"/>
      <c r="G108" s="707"/>
      <c r="H108" s="707"/>
      <c r="I108" s="707"/>
      <c r="J108" s="707"/>
      <c r="K108" s="707"/>
      <c r="L108" s="707"/>
      <c r="M108" s="707"/>
      <c r="N108" s="707"/>
      <c r="O108" s="707"/>
      <c r="P108" s="707"/>
      <c r="Q108" s="707"/>
      <c r="R108" s="707"/>
      <c r="S108" s="707"/>
      <c r="T108" s="707"/>
      <c r="U108" s="707"/>
      <c r="V108" s="707"/>
    </row>
    <row r="109" spans="1:22" x14ac:dyDescent="0.25">
      <c r="A109" s="707"/>
      <c r="B109" s="707"/>
      <c r="C109" s="707"/>
      <c r="D109" s="707"/>
      <c r="E109" s="707"/>
      <c r="F109" s="707"/>
      <c r="G109" s="707"/>
      <c r="H109" s="707"/>
      <c r="I109" s="707"/>
      <c r="J109" s="707"/>
      <c r="K109" s="707"/>
      <c r="L109" s="707"/>
      <c r="M109" s="707"/>
      <c r="N109" s="707"/>
      <c r="O109" s="707"/>
      <c r="P109" s="707"/>
      <c r="Q109" s="707"/>
      <c r="R109" s="707"/>
      <c r="S109" s="707"/>
      <c r="T109" s="707"/>
      <c r="U109" s="707"/>
      <c r="V109" s="707"/>
    </row>
    <row r="110" spans="1:22" x14ac:dyDescent="0.25">
      <c r="A110" s="707"/>
      <c r="B110" s="707"/>
      <c r="C110" s="707"/>
      <c r="D110" s="707"/>
      <c r="E110" s="707"/>
      <c r="F110" s="707"/>
      <c r="G110" s="707"/>
      <c r="H110" s="707"/>
      <c r="I110" s="707"/>
      <c r="J110" s="707"/>
      <c r="K110" s="707"/>
      <c r="L110" s="707"/>
      <c r="M110" s="707"/>
      <c r="N110" s="707"/>
      <c r="O110" s="707"/>
      <c r="P110" s="707"/>
      <c r="Q110" s="707"/>
      <c r="R110" s="707"/>
      <c r="S110" s="707"/>
      <c r="T110" s="707"/>
      <c r="U110" s="707"/>
      <c r="V110" s="707"/>
    </row>
    <row r="111" spans="1:22" x14ac:dyDescent="0.25">
      <c r="A111" s="707"/>
      <c r="B111" s="707"/>
      <c r="C111" s="707"/>
      <c r="D111" s="707"/>
      <c r="E111" s="707"/>
      <c r="F111" s="707"/>
      <c r="G111" s="707"/>
      <c r="H111" s="707"/>
      <c r="I111" s="707"/>
      <c r="J111" s="707"/>
      <c r="K111" s="707"/>
      <c r="L111" s="707"/>
      <c r="M111" s="707"/>
      <c r="N111" s="707"/>
      <c r="O111" s="707"/>
      <c r="P111" s="707"/>
      <c r="Q111" s="707"/>
      <c r="R111" s="707"/>
      <c r="S111" s="707"/>
      <c r="T111" s="707"/>
      <c r="U111" s="707"/>
      <c r="V111" s="707"/>
    </row>
    <row r="112" spans="1:22" x14ac:dyDescent="0.25">
      <c r="A112" s="707"/>
      <c r="B112" s="707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  <c r="P112" s="707"/>
      <c r="Q112" s="707"/>
      <c r="R112" s="707"/>
      <c r="S112" s="707"/>
      <c r="T112" s="707"/>
      <c r="U112" s="707"/>
      <c r="V112" s="707"/>
    </row>
    <row r="113" spans="1:22" x14ac:dyDescent="0.25">
      <c r="A113" s="707"/>
      <c r="B113" s="707"/>
      <c r="C113" s="707"/>
      <c r="D113" s="707"/>
      <c r="E113" s="707"/>
      <c r="F113" s="707"/>
      <c r="G113" s="707"/>
      <c r="H113" s="707"/>
      <c r="I113" s="707"/>
      <c r="J113" s="707"/>
      <c r="K113" s="707"/>
      <c r="L113" s="707"/>
      <c r="M113" s="707"/>
      <c r="N113" s="707"/>
      <c r="O113" s="707"/>
      <c r="P113" s="707"/>
      <c r="Q113" s="707"/>
      <c r="R113" s="707"/>
      <c r="S113" s="707"/>
      <c r="T113" s="707"/>
      <c r="U113" s="707"/>
      <c r="V113" s="707"/>
    </row>
    <row r="114" spans="1:22" x14ac:dyDescent="0.25">
      <c r="A114" s="707"/>
      <c r="B114" s="707"/>
      <c r="C114" s="707"/>
      <c r="D114" s="707"/>
      <c r="E114" s="707"/>
      <c r="F114" s="707"/>
      <c r="G114" s="707"/>
      <c r="H114" s="707"/>
      <c r="I114" s="707"/>
      <c r="J114" s="707"/>
      <c r="K114" s="707"/>
      <c r="L114" s="707"/>
      <c r="M114" s="707"/>
      <c r="N114" s="707"/>
      <c r="O114" s="707"/>
      <c r="P114" s="707"/>
      <c r="Q114" s="707"/>
      <c r="R114" s="707"/>
      <c r="S114" s="707"/>
      <c r="T114" s="707"/>
      <c r="U114" s="707"/>
      <c r="V114" s="707"/>
    </row>
    <row r="115" spans="1:22" x14ac:dyDescent="0.25">
      <c r="A115" s="707"/>
      <c r="B115" s="707"/>
      <c r="C115" s="707"/>
      <c r="D115" s="707"/>
      <c r="E115" s="707"/>
      <c r="F115" s="707"/>
      <c r="G115" s="707"/>
      <c r="H115" s="707"/>
      <c r="I115" s="707"/>
      <c r="J115" s="707"/>
      <c r="K115" s="707"/>
      <c r="L115" s="707"/>
      <c r="M115" s="707"/>
      <c r="N115" s="707"/>
      <c r="O115" s="707"/>
      <c r="P115" s="707"/>
      <c r="Q115" s="707"/>
      <c r="R115" s="707"/>
      <c r="S115" s="707"/>
      <c r="T115" s="707"/>
      <c r="U115" s="707"/>
      <c r="V115" s="707"/>
    </row>
    <row r="116" spans="1:22" x14ac:dyDescent="0.25">
      <c r="A116" s="707"/>
      <c r="B116" s="707"/>
      <c r="C116" s="707"/>
      <c r="D116" s="707"/>
      <c r="E116" s="707"/>
      <c r="F116" s="707"/>
      <c r="G116" s="707"/>
      <c r="H116" s="707"/>
      <c r="I116" s="707"/>
      <c r="J116" s="707"/>
      <c r="K116" s="707"/>
      <c r="L116" s="707"/>
      <c r="M116" s="707"/>
      <c r="N116" s="707"/>
      <c r="O116" s="707"/>
      <c r="P116" s="707"/>
      <c r="Q116" s="707"/>
      <c r="R116" s="707"/>
      <c r="S116" s="707"/>
      <c r="T116" s="707"/>
      <c r="U116" s="707"/>
      <c r="V116" s="707"/>
    </row>
    <row r="117" spans="1:22" x14ac:dyDescent="0.25">
      <c r="A117" s="707"/>
      <c r="B117" s="707"/>
      <c r="C117" s="707"/>
      <c r="D117" s="707"/>
      <c r="E117" s="707"/>
      <c r="F117" s="707"/>
      <c r="G117" s="707"/>
      <c r="H117" s="707"/>
      <c r="I117" s="707"/>
      <c r="J117" s="707"/>
      <c r="K117" s="707"/>
      <c r="L117" s="707"/>
      <c r="M117" s="707"/>
      <c r="N117" s="707"/>
      <c r="O117" s="707"/>
      <c r="P117" s="707"/>
      <c r="Q117" s="707"/>
      <c r="R117" s="707"/>
      <c r="S117" s="707"/>
      <c r="T117" s="707"/>
      <c r="U117" s="707"/>
      <c r="V117" s="707"/>
    </row>
    <row r="118" spans="1:22" x14ac:dyDescent="0.25">
      <c r="A118" s="707"/>
      <c r="B118" s="707"/>
      <c r="C118" s="707"/>
      <c r="D118" s="707"/>
      <c r="E118" s="707"/>
      <c r="F118" s="707"/>
      <c r="G118" s="707"/>
      <c r="H118" s="707"/>
      <c r="I118" s="707"/>
      <c r="J118" s="707"/>
      <c r="K118" s="707"/>
      <c r="L118" s="707"/>
      <c r="M118" s="707"/>
      <c r="N118" s="707"/>
      <c r="O118" s="707"/>
      <c r="P118" s="707"/>
      <c r="Q118" s="707"/>
      <c r="R118" s="707"/>
      <c r="S118" s="707"/>
      <c r="T118" s="707"/>
      <c r="U118" s="707"/>
      <c r="V118" s="707"/>
    </row>
    <row r="119" spans="1:22" x14ac:dyDescent="0.25">
      <c r="A119" s="707"/>
      <c r="B119" s="707"/>
      <c r="C119" s="707"/>
      <c r="D119" s="707"/>
      <c r="E119" s="707"/>
      <c r="F119" s="707"/>
      <c r="G119" s="707"/>
      <c r="H119" s="707"/>
      <c r="I119" s="707"/>
      <c r="J119" s="707"/>
      <c r="K119" s="707"/>
      <c r="L119" s="707"/>
      <c r="M119" s="707"/>
      <c r="N119" s="707"/>
      <c r="O119" s="707"/>
      <c r="P119" s="707"/>
      <c r="Q119" s="707"/>
      <c r="R119" s="707"/>
      <c r="S119" s="707"/>
      <c r="T119" s="707"/>
      <c r="U119" s="707"/>
      <c r="V119" s="707"/>
    </row>
    <row r="120" spans="1:22" x14ac:dyDescent="0.25">
      <c r="A120" s="707"/>
      <c r="B120" s="707"/>
      <c r="C120" s="707"/>
      <c r="D120" s="707"/>
      <c r="E120" s="707"/>
      <c r="F120" s="707"/>
      <c r="G120" s="707"/>
      <c r="H120" s="707"/>
      <c r="I120" s="707"/>
      <c r="J120" s="707"/>
      <c r="K120" s="707"/>
      <c r="L120" s="707"/>
      <c r="M120" s="707"/>
      <c r="N120" s="707"/>
      <c r="O120" s="707"/>
      <c r="P120" s="707"/>
      <c r="Q120" s="707"/>
      <c r="R120" s="707"/>
      <c r="S120" s="707"/>
      <c r="T120" s="707"/>
      <c r="U120" s="707"/>
      <c r="V120" s="707"/>
    </row>
    <row r="121" spans="1:22" x14ac:dyDescent="0.25">
      <c r="A121" s="707"/>
      <c r="B121" s="707"/>
      <c r="C121" s="707"/>
      <c r="D121" s="707"/>
      <c r="E121" s="707"/>
      <c r="F121" s="707"/>
      <c r="G121" s="707"/>
      <c r="H121" s="707"/>
      <c r="I121" s="707"/>
      <c r="J121" s="707"/>
      <c r="K121" s="707"/>
      <c r="L121" s="707"/>
      <c r="M121" s="707"/>
      <c r="N121" s="707"/>
      <c r="O121" s="707"/>
      <c r="P121" s="707"/>
      <c r="Q121" s="707"/>
      <c r="R121" s="707"/>
      <c r="S121" s="707"/>
      <c r="T121" s="707"/>
      <c r="U121" s="707"/>
      <c r="V121" s="707"/>
    </row>
    <row r="122" spans="1:22" x14ac:dyDescent="0.25">
      <c r="A122" s="707"/>
      <c r="B122" s="707"/>
      <c r="C122" s="707"/>
      <c r="D122" s="707"/>
      <c r="E122" s="707"/>
      <c r="F122" s="707"/>
      <c r="G122" s="707"/>
      <c r="H122" s="707"/>
      <c r="I122" s="707"/>
      <c r="J122" s="707"/>
      <c r="K122" s="707"/>
      <c r="L122" s="707"/>
      <c r="M122" s="707"/>
      <c r="N122" s="707"/>
      <c r="O122" s="707"/>
      <c r="P122" s="707"/>
      <c r="Q122" s="707"/>
      <c r="R122" s="707"/>
      <c r="S122" s="707"/>
      <c r="T122" s="707"/>
      <c r="U122" s="707"/>
      <c r="V122" s="707"/>
    </row>
    <row r="123" spans="1:22" x14ac:dyDescent="0.25">
      <c r="A123" s="707"/>
      <c r="B123" s="707"/>
      <c r="C123" s="707"/>
      <c r="D123" s="707"/>
      <c r="E123" s="707"/>
      <c r="F123" s="707"/>
      <c r="G123" s="707"/>
      <c r="H123" s="707"/>
      <c r="I123" s="707"/>
      <c r="J123" s="707"/>
      <c r="K123" s="707"/>
      <c r="L123" s="707"/>
      <c r="M123" s="707"/>
      <c r="N123" s="707"/>
      <c r="O123" s="707"/>
      <c r="P123" s="707"/>
      <c r="Q123" s="707"/>
      <c r="R123" s="707"/>
      <c r="S123" s="707"/>
      <c r="T123" s="707"/>
      <c r="U123" s="707"/>
      <c r="V123" s="707"/>
    </row>
    <row r="124" spans="1:22" x14ac:dyDescent="0.25">
      <c r="A124" s="707"/>
      <c r="B124" s="707"/>
      <c r="C124" s="707"/>
      <c r="D124" s="707"/>
      <c r="E124" s="707"/>
      <c r="F124" s="707"/>
      <c r="G124" s="707"/>
      <c r="H124" s="707"/>
      <c r="I124" s="707"/>
      <c r="J124" s="707"/>
      <c r="K124" s="707"/>
      <c r="L124" s="707"/>
      <c r="M124" s="707"/>
      <c r="N124" s="707"/>
      <c r="O124" s="707"/>
      <c r="P124" s="707"/>
      <c r="Q124" s="707"/>
      <c r="R124" s="707"/>
      <c r="S124" s="707"/>
      <c r="T124" s="707"/>
      <c r="U124" s="707"/>
      <c r="V124" s="707"/>
    </row>
    <row r="125" spans="1:22" x14ac:dyDescent="0.25">
      <c r="A125" s="707"/>
      <c r="B125" s="707"/>
      <c r="C125" s="707"/>
      <c r="D125" s="707"/>
      <c r="E125" s="707"/>
      <c r="F125" s="707"/>
      <c r="G125" s="707"/>
      <c r="H125" s="707"/>
      <c r="I125" s="707"/>
      <c r="J125" s="707"/>
      <c r="K125" s="707"/>
      <c r="L125" s="707"/>
      <c r="M125" s="707"/>
      <c r="N125" s="707"/>
      <c r="O125" s="707"/>
      <c r="P125" s="707"/>
      <c r="Q125" s="707"/>
      <c r="R125" s="707"/>
      <c r="S125" s="707"/>
      <c r="T125" s="707"/>
      <c r="U125" s="707"/>
      <c r="V125" s="707"/>
    </row>
    <row r="126" spans="1:22" x14ac:dyDescent="0.25">
      <c r="A126" s="707"/>
      <c r="B126" s="707"/>
      <c r="C126" s="707"/>
      <c r="D126" s="707"/>
      <c r="E126" s="707"/>
      <c r="F126" s="707"/>
      <c r="G126" s="707"/>
      <c r="H126" s="707"/>
      <c r="I126" s="707"/>
      <c r="J126" s="707"/>
      <c r="K126" s="707"/>
      <c r="L126" s="707"/>
      <c r="M126" s="707"/>
      <c r="N126" s="707"/>
      <c r="O126" s="707"/>
      <c r="P126" s="707"/>
      <c r="Q126" s="707"/>
      <c r="R126" s="707"/>
      <c r="S126" s="707"/>
      <c r="T126" s="707"/>
      <c r="U126" s="707"/>
      <c r="V126" s="707"/>
    </row>
    <row r="127" spans="1:22" x14ac:dyDescent="0.25">
      <c r="A127" s="707"/>
      <c r="B127" s="707"/>
      <c r="C127" s="707"/>
      <c r="D127" s="707"/>
      <c r="E127" s="707"/>
      <c r="F127" s="707"/>
      <c r="G127" s="707"/>
      <c r="H127" s="707"/>
      <c r="I127" s="707"/>
      <c r="J127" s="707"/>
      <c r="K127" s="707"/>
      <c r="L127" s="707"/>
      <c r="M127" s="707"/>
      <c r="N127" s="707"/>
      <c r="O127" s="707"/>
      <c r="P127" s="707"/>
      <c r="Q127" s="707"/>
      <c r="R127" s="707"/>
      <c r="S127" s="707"/>
      <c r="T127" s="707"/>
      <c r="U127" s="707"/>
      <c r="V127" s="707"/>
    </row>
    <row r="128" spans="1:22" x14ac:dyDescent="0.25">
      <c r="A128" s="707"/>
      <c r="B128" s="707"/>
      <c r="C128" s="707"/>
      <c r="D128" s="707"/>
      <c r="E128" s="707"/>
      <c r="F128" s="707"/>
      <c r="G128" s="707"/>
      <c r="H128" s="707"/>
      <c r="I128" s="707"/>
      <c r="J128" s="707"/>
      <c r="K128" s="707"/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  <c r="V128" s="707"/>
    </row>
    <row r="129" spans="1:22" x14ac:dyDescent="0.25">
      <c r="A129" s="707"/>
      <c r="B129" s="707"/>
      <c r="C129" s="707"/>
      <c r="D129" s="707"/>
      <c r="E129" s="707"/>
      <c r="F129" s="707"/>
      <c r="G129" s="707"/>
      <c r="H129" s="707"/>
      <c r="I129" s="707"/>
      <c r="J129" s="707"/>
      <c r="K129" s="707"/>
      <c r="L129" s="707"/>
      <c r="M129" s="707"/>
      <c r="N129" s="707"/>
      <c r="O129" s="707"/>
      <c r="P129" s="707"/>
      <c r="Q129" s="707"/>
      <c r="R129" s="707"/>
      <c r="S129" s="707"/>
      <c r="T129" s="707"/>
      <c r="U129" s="707"/>
      <c r="V129" s="707"/>
    </row>
    <row r="130" spans="1:22" x14ac:dyDescent="0.25">
      <c r="A130" s="707"/>
      <c r="B130" s="707"/>
      <c r="C130" s="707"/>
      <c r="D130" s="707"/>
      <c r="E130" s="707"/>
      <c r="F130" s="707"/>
      <c r="G130" s="707"/>
      <c r="H130" s="707"/>
      <c r="I130" s="707"/>
      <c r="J130" s="707"/>
      <c r="K130" s="707"/>
      <c r="L130" s="707"/>
      <c r="M130" s="707"/>
      <c r="N130" s="707"/>
      <c r="O130" s="707"/>
      <c r="P130" s="707"/>
      <c r="Q130" s="707"/>
      <c r="R130" s="707"/>
      <c r="S130" s="707"/>
      <c r="T130" s="707"/>
      <c r="U130" s="707"/>
      <c r="V130" s="707"/>
    </row>
    <row r="131" spans="1:22" x14ac:dyDescent="0.25">
      <c r="A131" s="707"/>
      <c r="B131" s="707"/>
      <c r="C131" s="707"/>
      <c r="D131" s="707"/>
      <c r="E131" s="707"/>
      <c r="F131" s="707"/>
      <c r="G131" s="707"/>
      <c r="H131" s="707"/>
      <c r="I131" s="707"/>
      <c r="J131" s="707"/>
      <c r="K131" s="707"/>
      <c r="L131" s="707"/>
      <c r="M131" s="707"/>
      <c r="N131" s="707"/>
      <c r="O131" s="707"/>
      <c r="P131" s="707"/>
      <c r="Q131" s="707"/>
      <c r="R131" s="707"/>
      <c r="S131" s="707"/>
      <c r="T131" s="707"/>
      <c r="U131" s="707"/>
      <c r="V131" s="707"/>
    </row>
    <row r="132" spans="1:22" x14ac:dyDescent="0.25">
      <c r="A132" s="707"/>
      <c r="B132" s="707"/>
      <c r="C132" s="707"/>
      <c r="D132" s="707"/>
      <c r="E132" s="707"/>
      <c r="F132" s="707"/>
      <c r="G132" s="707"/>
      <c r="H132" s="707"/>
      <c r="I132" s="707"/>
      <c r="J132" s="707"/>
      <c r="K132" s="707"/>
      <c r="L132" s="707"/>
      <c r="M132" s="707"/>
      <c r="N132" s="707"/>
      <c r="O132" s="707"/>
      <c r="P132" s="707"/>
      <c r="Q132" s="707"/>
      <c r="R132" s="707"/>
      <c r="S132" s="707"/>
      <c r="T132" s="707"/>
      <c r="U132" s="707"/>
      <c r="V132" s="707"/>
    </row>
    <row r="133" spans="1:22" x14ac:dyDescent="0.25">
      <c r="A133" s="707"/>
      <c r="B133" s="707"/>
      <c r="C133" s="707"/>
      <c r="D133" s="707"/>
      <c r="E133" s="707"/>
      <c r="F133" s="707"/>
      <c r="G133" s="707"/>
      <c r="H133" s="707"/>
      <c r="I133" s="707"/>
      <c r="J133" s="707"/>
      <c r="K133" s="707"/>
      <c r="L133" s="707"/>
      <c r="M133" s="707"/>
      <c r="N133" s="707"/>
      <c r="O133" s="707"/>
      <c r="P133" s="707"/>
      <c r="Q133" s="707"/>
      <c r="R133" s="707"/>
      <c r="S133" s="707"/>
      <c r="T133" s="707"/>
      <c r="U133" s="707"/>
      <c r="V133" s="707"/>
    </row>
    <row r="134" spans="1:22" x14ac:dyDescent="0.25">
      <c r="A134" s="707"/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</row>
    <row r="135" spans="1:22" x14ac:dyDescent="0.25">
      <c r="A135" s="707"/>
      <c r="B135" s="707"/>
      <c r="C135" s="707"/>
      <c r="D135" s="707"/>
      <c r="E135" s="707"/>
      <c r="F135" s="707"/>
      <c r="G135" s="707"/>
      <c r="H135" s="707"/>
      <c r="I135" s="707"/>
      <c r="J135" s="707"/>
      <c r="K135" s="707"/>
      <c r="L135" s="707"/>
      <c r="M135" s="707"/>
      <c r="N135" s="707"/>
      <c r="O135" s="707"/>
      <c r="P135" s="707"/>
      <c r="Q135" s="707"/>
      <c r="R135" s="707"/>
      <c r="S135" s="707"/>
      <c r="T135" s="707"/>
      <c r="U135" s="707"/>
      <c r="V135" s="707"/>
    </row>
    <row r="136" spans="1:22" x14ac:dyDescent="0.25">
      <c r="A136" s="707"/>
      <c r="B136" s="707"/>
      <c r="C136" s="707"/>
      <c r="D136" s="707"/>
      <c r="E136" s="707"/>
      <c r="F136" s="707"/>
      <c r="G136" s="707"/>
      <c r="H136" s="707"/>
      <c r="I136" s="707"/>
      <c r="J136" s="707"/>
      <c r="K136" s="707"/>
      <c r="L136" s="707"/>
      <c r="M136" s="707"/>
      <c r="N136" s="707"/>
      <c r="O136" s="707"/>
      <c r="P136" s="707"/>
      <c r="Q136" s="707"/>
      <c r="R136" s="707"/>
      <c r="S136" s="707"/>
      <c r="T136" s="707"/>
      <c r="U136" s="707"/>
      <c r="V136" s="707"/>
    </row>
    <row r="137" spans="1:22" x14ac:dyDescent="0.25">
      <c r="A137" s="707"/>
      <c r="B137" s="707"/>
      <c r="C137" s="707"/>
      <c r="D137" s="707"/>
      <c r="E137" s="707"/>
      <c r="F137" s="707"/>
      <c r="G137" s="707"/>
      <c r="H137" s="707"/>
      <c r="I137" s="707"/>
      <c r="J137" s="707"/>
      <c r="K137" s="707"/>
      <c r="L137" s="707"/>
      <c r="M137" s="707"/>
      <c r="N137" s="707"/>
      <c r="O137" s="707"/>
      <c r="P137" s="707"/>
      <c r="Q137" s="707"/>
      <c r="R137" s="707"/>
      <c r="S137" s="707"/>
      <c r="T137" s="707"/>
      <c r="U137" s="707"/>
      <c r="V137" s="707"/>
    </row>
    <row r="138" spans="1:22" x14ac:dyDescent="0.25">
      <c r="A138" s="707"/>
      <c r="B138" s="707"/>
      <c r="C138" s="707"/>
      <c r="D138" s="707"/>
      <c r="E138" s="707"/>
      <c r="F138" s="707"/>
      <c r="G138" s="707"/>
      <c r="H138" s="707"/>
      <c r="I138" s="707"/>
      <c r="J138" s="707"/>
      <c r="K138" s="707"/>
      <c r="L138" s="707"/>
      <c r="M138" s="707"/>
      <c r="N138" s="707"/>
      <c r="O138" s="707"/>
      <c r="P138" s="707"/>
      <c r="Q138" s="707"/>
      <c r="R138" s="707"/>
      <c r="S138" s="707"/>
      <c r="T138" s="707"/>
      <c r="U138" s="707"/>
      <c r="V138" s="707"/>
    </row>
    <row r="139" spans="1:22" x14ac:dyDescent="0.25">
      <c r="A139" s="707"/>
      <c r="B139" s="707"/>
      <c r="C139" s="707"/>
      <c r="D139" s="707"/>
      <c r="E139" s="707"/>
      <c r="F139" s="707"/>
      <c r="G139" s="707"/>
      <c r="H139" s="707"/>
      <c r="I139" s="707"/>
      <c r="J139" s="707"/>
      <c r="K139" s="707"/>
      <c r="L139" s="707"/>
      <c r="M139" s="707"/>
      <c r="N139" s="707"/>
      <c r="O139" s="707"/>
      <c r="P139" s="707"/>
      <c r="Q139" s="707"/>
      <c r="R139" s="707"/>
      <c r="S139" s="707"/>
      <c r="T139" s="707"/>
      <c r="U139" s="707"/>
      <c r="V139" s="707"/>
    </row>
    <row r="140" spans="1:22" x14ac:dyDescent="0.25">
      <c r="A140" s="707"/>
      <c r="B140" s="707"/>
      <c r="C140" s="707"/>
      <c r="D140" s="707"/>
      <c r="E140" s="707"/>
      <c r="F140" s="707"/>
      <c r="G140" s="707"/>
      <c r="H140" s="707"/>
      <c r="I140" s="707"/>
      <c r="J140" s="707"/>
      <c r="K140" s="707"/>
      <c r="L140" s="707"/>
      <c r="M140" s="707"/>
      <c r="N140" s="707"/>
      <c r="O140" s="707"/>
      <c r="P140" s="707"/>
      <c r="Q140" s="707"/>
      <c r="R140" s="707"/>
      <c r="S140" s="707"/>
      <c r="T140" s="707"/>
      <c r="U140" s="707"/>
      <c r="V140" s="707"/>
    </row>
    <row r="141" spans="1:22" x14ac:dyDescent="0.25">
      <c r="A141" s="707"/>
      <c r="B141" s="707"/>
      <c r="C141" s="707"/>
      <c r="D141" s="707"/>
      <c r="E141" s="707"/>
      <c r="F141" s="707"/>
      <c r="G141" s="707"/>
      <c r="H141" s="707"/>
      <c r="I141" s="707"/>
      <c r="J141" s="707"/>
      <c r="K141" s="707"/>
      <c r="L141" s="707"/>
      <c r="M141" s="707"/>
      <c r="N141" s="707"/>
      <c r="O141" s="707"/>
      <c r="P141" s="707"/>
      <c r="Q141" s="707"/>
      <c r="R141" s="707"/>
      <c r="S141" s="707"/>
      <c r="T141" s="707"/>
      <c r="U141" s="707"/>
      <c r="V141" s="707"/>
    </row>
    <row r="142" spans="1:22" x14ac:dyDescent="0.25">
      <c r="A142" s="707"/>
      <c r="B142" s="707"/>
      <c r="C142" s="707"/>
      <c r="D142" s="707"/>
      <c r="E142" s="707"/>
      <c r="F142" s="707"/>
      <c r="G142" s="707"/>
      <c r="H142" s="707"/>
      <c r="I142" s="707"/>
      <c r="J142" s="707"/>
      <c r="K142" s="707"/>
      <c r="L142" s="707"/>
      <c r="M142" s="707"/>
      <c r="N142" s="707"/>
      <c r="O142" s="707"/>
      <c r="P142" s="707"/>
      <c r="Q142" s="707"/>
      <c r="R142" s="707"/>
      <c r="S142" s="707"/>
      <c r="T142" s="707"/>
      <c r="U142" s="707"/>
      <c r="V142" s="707"/>
    </row>
  </sheetData>
  <sheetProtection algorithmName="SHA-512" hashValue="iYRbTxwwaYtCyarRyq9/IgG9FzppcomzkPsIcqHUtTbLLpcvbhBCtgvFosN+HQBspM+UTL2g35O/Gk4MJN2sPQ==" saltValue="2LU0BTX40LFDFMex937WJg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C40-A63A-4D86-AF95-6FCFCA8CFD1C}">
  <sheetPr codeName="Sheet8">
    <tabColor theme="9" tint="-0.499984740745262"/>
  </sheetPr>
  <dimension ref="A1:U136"/>
  <sheetViews>
    <sheetView showGridLines="0" showRowColHeaders="0" workbookViewId="0">
      <selection activeCell="T125" sqref="T125"/>
    </sheetView>
  </sheetViews>
  <sheetFormatPr defaultRowHeight="15" x14ac:dyDescent="0.25"/>
  <sheetData>
    <row r="1" spans="1:21" x14ac:dyDescent="0.25">
      <c r="A1" s="707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</row>
    <row r="2" spans="1:21" x14ac:dyDescent="0.25">
      <c r="A2" s="707"/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</row>
    <row r="3" spans="1:21" x14ac:dyDescent="0.25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</row>
    <row r="4" spans="1:21" x14ac:dyDescent="0.25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</row>
    <row r="5" spans="1:21" x14ac:dyDescent="0.25">
      <c r="A5" s="707"/>
      <c r="B5" s="707"/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</row>
    <row r="6" spans="1:21" x14ac:dyDescent="0.25">
      <c r="A6" s="707"/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</row>
    <row r="7" spans="1:21" x14ac:dyDescent="0.25">
      <c r="A7" s="707"/>
      <c r="B7" s="707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</row>
    <row r="8" spans="1:21" x14ac:dyDescent="0.25">
      <c r="A8" s="707"/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</row>
    <row r="9" spans="1:21" x14ac:dyDescent="0.25">
      <c r="A9" s="707"/>
      <c r="B9" s="707"/>
      <c r="C9" s="707"/>
      <c r="D9" s="707"/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</row>
    <row r="10" spans="1:21" x14ac:dyDescent="0.25">
      <c r="A10" s="707"/>
      <c r="B10" s="707"/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</row>
    <row r="11" spans="1:21" x14ac:dyDescent="0.25">
      <c r="A11" s="707"/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</row>
    <row r="12" spans="1:21" x14ac:dyDescent="0.25">
      <c r="A12" s="707"/>
      <c r="B12" s="707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</row>
    <row r="13" spans="1:21" x14ac:dyDescent="0.25">
      <c r="A13" s="707"/>
      <c r="B13" s="707"/>
      <c r="C13" s="707"/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</row>
    <row r="14" spans="1:21" x14ac:dyDescent="0.25">
      <c r="A14" s="707"/>
      <c r="B14" s="707"/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</row>
    <row r="15" spans="1:21" x14ac:dyDescent="0.25">
      <c r="A15" s="707"/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</row>
    <row r="16" spans="1:21" x14ac:dyDescent="0.25">
      <c r="A16" s="707"/>
      <c r="B16" s="707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</row>
    <row r="17" spans="1:21" x14ac:dyDescent="0.25">
      <c r="A17" s="707"/>
      <c r="B17" s="707"/>
      <c r="C17" s="707"/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</row>
    <row r="18" spans="1:21" x14ac:dyDescent="0.25">
      <c r="A18" s="707"/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</row>
    <row r="19" spans="1:21" x14ac:dyDescent="0.25">
      <c r="A19" s="707"/>
      <c r="B19" s="707"/>
      <c r="C19" s="707"/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</row>
    <row r="20" spans="1:21" x14ac:dyDescent="0.25">
      <c r="A20" s="707"/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</row>
    <row r="21" spans="1:21" x14ac:dyDescent="0.25">
      <c r="A21" s="707"/>
      <c r="B21" s="707"/>
      <c r="C21" s="707"/>
      <c r="D21" s="707"/>
      <c r="E21" s="707"/>
      <c r="F21" s="707"/>
      <c r="G21" s="707"/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</row>
    <row r="22" spans="1:21" x14ac:dyDescent="0.25">
      <c r="A22" s="707"/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</row>
    <row r="23" spans="1:21" x14ac:dyDescent="0.25">
      <c r="A23" s="707"/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</row>
    <row r="24" spans="1:21" x14ac:dyDescent="0.25">
      <c r="A24" s="707"/>
      <c r="B24" s="707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</row>
    <row r="25" spans="1:21" x14ac:dyDescent="0.25">
      <c r="A25" s="707"/>
      <c r="B25" s="707"/>
      <c r="C25" s="707"/>
      <c r="D25" s="707"/>
      <c r="E25" s="707"/>
      <c r="F25" s="707"/>
      <c r="G25" s="707"/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</row>
    <row r="26" spans="1:21" x14ac:dyDescent="0.25">
      <c r="A26" s="707"/>
      <c r="B26" s="707"/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707"/>
      <c r="P26" s="707"/>
      <c r="Q26" s="707"/>
      <c r="R26" s="707"/>
      <c r="S26" s="707"/>
      <c r="T26" s="707"/>
      <c r="U26" s="707"/>
    </row>
    <row r="27" spans="1:21" x14ac:dyDescent="0.25">
      <c r="A27" s="707"/>
      <c r="B27" s="707"/>
      <c r="C27" s="707"/>
      <c r="D27" s="707"/>
      <c r="E27" s="707"/>
      <c r="F27" s="707"/>
      <c r="G27" s="707"/>
      <c r="H27" s="707"/>
      <c r="I27" s="707"/>
      <c r="J27" s="707"/>
      <c r="K27" s="707"/>
      <c r="L27" s="707"/>
      <c r="M27" s="707"/>
      <c r="N27" s="707"/>
      <c r="O27" s="707"/>
      <c r="P27" s="707"/>
      <c r="Q27" s="707"/>
      <c r="R27" s="707"/>
      <c r="S27" s="707"/>
      <c r="T27" s="707"/>
      <c r="U27" s="707"/>
    </row>
    <row r="28" spans="1:21" x14ac:dyDescent="0.25">
      <c r="A28" s="707"/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</row>
    <row r="29" spans="1:21" x14ac:dyDescent="0.25">
      <c r="A29" s="707"/>
      <c r="B29" s="707"/>
      <c r="C29" s="707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707"/>
      <c r="P29" s="707"/>
      <c r="Q29" s="707"/>
      <c r="R29" s="707"/>
      <c r="S29" s="707"/>
      <c r="T29" s="707"/>
      <c r="U29" s="707"/>
    </row>
    <row r="30" spans="1:21" x14ac:dyDescent="0.25">
      <c r="A30" s="707"/>
      <c r="B30" s="707"/>
      <c r="C30" s="707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707"/>
      <c r="P30" s="707"/>
      <c r="Q30" s="707"/>
      <c r="R30" s="707"/>
      <c r="S30" s="707"/>
      <c r="T30" s="707"/>
      <c r="U30" s="707"/>
    </row>
    <row r="31" spans="1:21" x14ac:dyDescent="0.25">
      <c r="A31" s="707"/>
      <c r="B31" s="707"/>
      <c r="C31" s="707"/>
      <c r="D31" s="707"/>
      <c r="E31" s="707"/>
      <c r="F31" s="707"/>
      <c r="G31" s="707"/>
      <c r="H31" s="707"/>
      <c r="I31" s="707"/>
      <c r="J31" s="707"/>
      <c r="K31" s="707"/>
      <c r="L31" s="707"/>
      <c r="M31" s="707"/>
      <c r="N31" s="707"/>
      <c r="O31" s="707"/>
      <c r="P31" s="707"/>
      <c r="Q31" s="707"/>
      <c r="R31" s="707"/>
      <c r="S31" s="707"/>
      <c r="T31" s="707"/>
      <c r="U31" s="707"/>
    </row>
    <row r="32" spans="1:21" x14ac:dyDescent="0.25">
      <c r="A32" s="707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</row>
    <row r="33" spans="1:21" x14ac:dyDescent="0.25">
      <c r="A33" s="707"/>
      <c r="B33" s="707"/>
      <c r="C33" s="707"/>
      <c r="D33" s="707"/>
      <c r="E33" s="707"/>
      <c r="F33" s="707"/>
      <c r="G33" s="707"/>
      <c r="H33" s="707"/>
      <c r="I33" s="707"/>
      <c r="J33" s="707"/>
      <c r="K33" s="707"/>
      <c r="L33" s="707"/>
      <c r="M33" s="707"/>
      <c r="N33" s="707"/>
      <c r="O33" s="707"/>
      <c r="P33" s="707"/>
      <c r="Q33" s="707"/>
      <c r="R33" s="707"/>
      <c r="S33" s="707"/>
      <c r="T33" s="707"/>
      <c r="U33" s="707"/>
    </row>
    <row r="34" spans="1:21" x14ac:dyDescent="0.25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P34" s="707"/>
      <c r="Q34" s="707"/>
      <c r="R34" s="707"/>
      <c r="S34" s="707"/>
      <c r="T34" s="707"/>
      <c r="U34" s="707"/>
    </row>
    <row r="35" spans="1:21" x14ac:dyDescent="0.25">
      <c r="A35" s="707"/>
      <c r="B35" s="707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P35" s="707"/>
      <c r="Q35" s="707"/>
      <c r="R35" s="707"/>
      <c r="S35" s="707"/>
      <c r="T35" s="707"/>
      <c r="U35" s="707"/>
    </row>
    <row r="36" spans="1:21" x14ac:dyDescent="0.25">
      <c r="A36" s="707"/>
      <c r="B36" s="707"/>
      <c r="C36" s="707"/>
      <c r="D36" s="707"/>
      <c r="E36" s="707"/>
      <c r="F36" s="707"/>
      <c r="G36" s="707"/>
      <c r="H36" s="707"/>
      <c r="I36" s="707"/>
      <c r="J36" s="707"/>
      <c r="K36" s="707"/>
      <c r="L36" s="707"/>
      <c r="M36" s="707"/>
      <c r="N36" s="707"/>
      <c r="O36" s="707"/>
      <c r="P36" s="707"/>
      <c r="Q36" s="707"/>
      <c r="R36" s="707"/>
      <c r="S36" s="707"/>
      <c r="T36" s="707"/>
      <c r="U36" s="707"/>
    </row>
    <row r="37" spans="1:21" x14ac:dyDescent="0.25">
      <c r="A37" s="707"/>
      <c r="B37" s="707"/>
      <c r="C37" s="707"/>
      <c r="D37" s="707"/>
      <c r="E37" s="707"/>
      <c r="F37" s="707"/>
      <c r="G37" s="707"/>
      <c r="H37" s="707"/>
      <c r="I37" s="707"/>
      <c r="J37" s="707"/>
      <c r="K37" s="707"/>
      <c r="L37" s="707"/>
      <c r="M37" s="707"/>
      <c r="N37" s="707"/>
      <c r="O37" s="707"/>
      <c r="P37" s="707"/>
      <c r="Q37" s="707"/>
      <c r="R37" s="707"/>
      <c r="S37" s="707"/>
      <c r="T37" s="707"/>
      <c r="U37" s="707"/>
    </row>
    <row r="38" spans="1:21" x14ac:dyDescent="0.25">
      <c r="A38" s="707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</row>
    <row r="39" spans="1:21" x14ac:dyDescent="0.25">
      <c r="A39" s="707"/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</row>
    <row r="40" spans="1:21" x14ac:dyDescent="0.25">
      <c r="A40" s="707"/>
      <c r="B40" s="707"/>
      <c r="C40" s="707"/>
      <c r="D40" s="707"/>
      <c r="E40" s="707"/>
      <c r="F40" s="707"/>
      <c r="G40" s="707"/>
      <c r="H40" s="707"/>
      <c r="I40" s="707"/>
      <c r="J40" s="707"/>
      <c r="K40" s="707"/>
      <c r="L40" s="707"/>
      <c r="M40" s="707"/>
      <c r="N40" s="707"/>
      <c r="O40" s="707"/>
      <c r="P40" s="707"/>
      <c r="Q40" s="707"/>
      <c r="R40" s="707"/>
      <c r="S40" s="707"/>
      <c r="T40" s="707"/>
      <c r="U40" s="707"/>
    </row>
    <row r="41" spans="1:21" x14ac:dyDescent="0.25">
      <c r="A41" s="707"/>
      <c r="B41" s="707"/>
      <c r="C41" s="707"/>
      <c r="D41" s="707"/>
      <c r="E41" s="707"/>
      <c r="F41" s="707"/>
      <c r="G41" s="707"/>
      <c r="H41" s="707"/>
      <c r="I41" s="707"/>
      <c r="J41" s="707"/>
      <c r="K41" s="707"/>
      <c r="L41" s="707"/>
      <c r="M41" s="707"/>
      <c r="N41" s="707"/>
      <c r="O41" s="707"/>
      <c r="P41" s="707"/>
      <c r="Q41" s="707"/>
      <c r="R41" s="707"/>
      <c r="S41" s="707"/>
      <c r="T41" s="707"/>
      <c r="U41" s="707"/>
    </row>
    <row r="42" spans="1:21" x14ac:dyDescent="0.25">
      <c r="A42" s="707"/>
      <c r="B42" s="707"/>
      <c r="C42" s="707"/>
      <c r="D42" s="707"/>
      <c r="E42" s="707"/>
      <c r="F42" s="707"/>
      <c r="G42" s="707"/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</row>
    <row r="43" spans="1:21" x14ac:dyDescent="0.25">
      <c r="A43" s="707"/>
      <c r="B43" s="707"/>
      <c r="C43" s="707"/>
      <c r="D43" s="707"/>
      <c r="E43" s="707"/>
      <c r="F43" s="707"/>
      <c r="G43" s="707"/>
      <c r="H43" s="707"/>
      <c r="I43" s="707"/>
      <c r="J43" s="707"/>
      <c r="K43" s="707"/>
      <c r="L43" s="707"/>
      <c r="M43" s="707"/>
      <c r="N43" s="707"/>
      <c r="O43" s="707"/>
      <c r="P43" s="707"/>
      <c r="Q43" s="707"/>
      <c r="R43" s="707"/>
      <c r="S43" s="707"/>
      <c r="T43" s="707"/>
      <c r="U43" s="707"/>
    </row>
    <row r="44" spans="1:21" x14ac:dyDescent="0.25">
      <c r="A44" s="707"/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</row>
    <row r="45" spans="1:21" x14ac:dyDescent="0.25">
      <c r="A45" s="707"/>
      <c r="B45" s="707"/>
      <c r="C45" s="707"/>
      <c r="D45" s="707"/>
      <c r="E45" s="707"/>
      <c r="F45" s="707"/>
      <c r="G45" s="707"/>
      <c r="H45" s="707"/>
      <c r="I45" s="707"/>
      <c r="J45" s="707"/>
      <c r="K45" s="707"/>
      <c r="L45" s="707"/>
      <c r="M45" s="707"/>
      <c r="N45" s="707"/>
      <c r="O45" s="707"/>
      <c r="P45" s="707"/>
      <c r="Q45" s="707"/>
      <c r="R45" s="707"/>
      <c r="S45" s="707"/>
      <c r="T45" s="707"/>
      <c r="U45" s="707"/>
    </row>
    <row r="46" spans="1:21" x14ac:dyDescent="0.25">
      <c r="A46" s="707"/>
      <c r="B46" s="707"/>
      <c r="C46" s="707"/>
      <c r="D46" s="707"/>
      <c r="E46" s="707"/>
      <c r="F46" s="707"/>
      <c r="G46" s="707"/>
      <c r="H46" s="707"/>
      <c r="I46" s="707"/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</row>
    <row r="47" spans="1:21" x14ac:dyDescent="0.25">
      <c r="A47" s="707"/>
      <c r="B47" s="707"/>
      <c r="C47" s="707"/>
      <c r="D47" s="707"/>
      <c r="E47" s="707"/>
      <c r="F47" s="707"/>
      <c r="G47" s="707"/>
      <c r="H47" s="707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</row>
    <row r="48" spans="1:21" x14ac:dyDescent="0.25">
      <c r="A48" s="707"/>
      <c r="B48" s="707"/>
      <c r="C48" s="707"/>
      <c r="D48" s="707"/>
      <c r="E48" s="707"/>
      <c r="F48" s="707"/>
      <c r="G48" s="707"/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</row>
    <row r="49" spans="1:21" x14ac:dyDescent="0.25">
      <c r="A49" s="707"/>
      <c r="B49" s="707"/>
      <c r="C49" s="707"/>
      <c r="D49" s="707"/>
      <c r="E49" s="707"/>
      <c r="F49" s="707"/>
      <c r="G49" s="707"/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</row>
    <row r="50" spans="1:21" x14ac:dyDescent="0.25">
      <c r="A50" s="707"/>
      <c r="B50" s="707"/>
      <c r="C50" s="707"/>
      <c r="D50" s="707"/>
      <c r="E50" s="707"/>
      <c r="F50" s="707"/>
      <c r="G50" s="707"/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</row>
    <row r="51" spans="1:21" x14ac:dyDescent="0.25">
      <c r="A51" s="707"/>
      <c r="B51" s="707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  <c r="P51" s="707"/>
      <c r="Q51" s="707"/>
      <c r="R51" s="707"/>
      <c r="S51" s="707"/>
      <c r="T51" s="707"/>
      <c r="U51" s="707"/>
    </row>
    <row r="52" spans="1:21" x14ac:dyDescent="0.25">
      <c r="A52" s="707"/>
      <c r="B52" s="707"/>
      <c r="C52" s="707"/>
      <c r="D52" s="707"/>
      <c r="E52" s="707"/>
      <c r="F52" s="707"/>
      <c r="G52" s="707"/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</row>
    <row r="53" spans="1:21" x14ac:dyDescent="0.25">
      <c r="A53" s="707"/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</row>
    <row r="54" spans="1:21" x14ac:dyDescent="0.25">
      <c r="A54" s="707"/>
      <c r="B54" s="707"/>
      <c r="C54" s="707"/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</row>
    <row r="55" spans="1:21" x14ac:dyDescent="0.25">
      <c r="A55" s="707"/>
      <c r="B55" s="707"/>
      <c r="C55" s="707"/>
      <c r="D55" s="707"/>
      <c r="E55" s="707"/>
      <c r="F55" s="707"/>
      <c r="G55" s="707"/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</row>
    <row r="56" spans="1:21" x14ac:dyDescent="0.25">
      <c r="A56" s="707"/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</row>
    <row r="57" spans="1:21" x14ac:dyDescent="0.25">
      <c r="A57" s="707"/>
      <c r="B57" s="707"/>
      <c r="C57" s="707"/>
      <c r="D57" s="707"/>
      <c r="E57" s="707"/>
      <c r="F57" s="707"/>
      <c r="G57" s="707"/>
      <c r="H57" s="707"/>
      <c r="I57" s="707"/>
      <c r="J57" s="707"/>
      <c r="K57" s="707"/>
      <c r="L57" s="707"/>
      <c r="M57" s="707"/>
      <c r="N57" s="707"/>
      <c r="O57" s="707"/>
      <c r="P57" s="707"/>
      <c r="Q57" s="707"/>
      <c r="R57" s="707"/>
      <c r="S57" s="707"/>
      <c r="T57" s="707"/>
      <c r="U57" s="707"/>
    </row>
    <row r="58" spans="1:21" x14ac:dyDescent="0.25">
      <c r="A58" s="707"/>
      <c r="B58" s="707"/>
      <c r="C58" s="707"/>
      <c r="D58" s="707"/>
      <c r="E58" s="707"/>
      <c r="F58" s="707"/>
      <c r="G58" s="707"/>
      <c r="H58" s="707"/>
      <c r="I58" s="707"/>
      <c r="J58" s="707"/>
      <c r="K58" s="707"/>
      <c r="L58" s="707"/>
      <c r="M58" s="707"/>
      <c r="N58" s="707"/>
      <c r="O58" s="707"/>
      <c r="P58" s="707"/>
      <c r="Q58" s="707"/>
      <c r="R58" s="707"/>
      <c r="S58" s="707"/>
      <c r="T58" s="707"/>
      <c r="U58" s="707"/>
    </row>
    <row r="59" spans="1:21" x14ac:dyDescent="0.25">
      <c r="A59" s="707"/>
      <c r="B59" s="707"/>
      <c r="C59" s="707"/>
      <c r="D59" s="707"/>
      <c r="E59" s="707"/>
      <c r="F59" s="707"/>
      <c r="G59" s="707"/>
      <c r="H59" s="707"/>
      <c r="I59" s="707"/>
      <c r="J59" s="707"/>
      <c r="K59" s="707"/>
      <c r="L59" s="707"/>
      <c r="M59" s="707"/>
      <c r="N59" s="707"/>
      <c r="O59" s="707"/>
      <c r="P59" s="707"/>
      <c r="Q59" s="707"/>
      <c r="R59" s="707"/>
      <c r="S59" s="707"/>
      <c r="T59" s="707"/>
      <c r="U59" s="707"/>
    </row>
    <row r="60" spans="1:21" x14ac:dyDescent="0.25">
      <c r="A60" s="707"/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</row>
    <row r="61" spans="1:21" x14ac:dyDescent="0.25">
      <c r="A61" s="707"/>
      <c r="B61" s="707"/>
      <c r="C61" s="707"/>
      <c r="D61" s="707"/>
      <c r="E61" s="707"/>
      <c r="F61" s="707"/>
      <c r="G61" s="707"/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</row>
    <row r="62" spans="1:21" x14ac:dyDescent="0.25">
      <c r="A62" s="707"/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</row>
    <row r="63" spans="1:21" x14ac:dyDescent="0.25">
      <c r="A63" s="707"/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</row>
    <row r="64" spans="1:21" x14ac:dyDescent="0.25">
      <c r="A64" s="707"/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</row>
    <row r="65" spans="1:21" x14ac:dyDescent="0.25">
      <c r="A65" s="707"/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</row>
    <row r="66" spans="1:21" x14ac:dyDescent="0.25">
      <c r="A66" s="707"/>
      <c r="B66" s="707"/>
      <c r="C66" s="707"/>
      <c r="D66" s="707"/>
      <c r="E66" s="707"/>
      <c r="F66" s="707"/>
      <c r="G66" s="707"/>
      <c r="H66" s="707"/>
      <c r="I66" s="707"/>
      <c r="J66" s="707"/>
      <c r="K66" s="707"/>
      <c r="L66" s="707"/>
      <c r="M66" s="707"/>
      <c r="N66" s="707"/>
      <c r="O66" s="707"/>
      <c r="P66" s="707"/>
      <c r="Q66" s="707"/>
      <c r="R66" s="707"/>
      <c r="S66" s="707"/>
      <c r="T66" s="707"/>
      <c r="U66" s="707"/>
    </row>
    <row r="67" spans="1:21" x14ac:dyDescent="0.25">
      <c r="A67" s="707"/>
      <c r="B67" s="707"/>
      <c r="C67" s="707"/>
      <c r="D67" s="707"/>
      <c r="E67" s="707"/>
      <c r="F67" s="707"/>
      <c r="G67" s="707"/>
      <c r="H67" s="707"/>
      <c r="I67" s="707"/>
      <c r="J67" s="707"/>
      <c r="K67" s="707"/>
      <c r="L67" s="707"/>
      <c r="M67" s="707"/>
      <c r="N67" s="707"/>
      <c r="O67" s="707"/>
      <c r="P67" s="707"/>
      <c r="Q67" s="707"/>
      <c r="R67" s="707"/>
      <c r="S67" s="707"/>
      <c r="T67" s="707"/>
      <c r="U67" s="707"/>
    </row>
    <row r="68" spans="1:21" x14ac:dyDescent="0.25">
      <c r="A68" s="707"/>
      <c r="B68" s="707"/>
      <c r="C68" s="707"/>
      <c r="D68" s="707"/>
      <c r="E68" s="707"/>
      <c r="F68" s="707"/>
      <c r="G68" s="707"/>
      <c r="H68" s="707"/>
      <c r="I68" s="707"/>
      <c r="J68" s="707"/>
      <c r="K68" s="707"/>
      <c r="L68" s="707"/>
      <c r="M68" s="707"/>
      <c r="N68" s="707"/>
      <c r="O68" s="707"/>
      <c r="P68" s="707"/>
      <c r="Q68" s="707"/>
      <c r="R68" s="707"/>
      <c r="S68" s="707"/>
      <c r="T68" s="707"/>
      <c r="U68" s="707"/>
    </row>
    <row r="69" spans="1:21" x14ac:dyDescent="0.25">
      <c r="A69" s="707"/>
      <c r="B69" s="707"/>
      <c r="C69" s="707"/>
      <c r="D69" s="707"/>
      <c r="E69" s="707"/>
      <c r="F69" s="707"/>
      <c r="G69" s="707"/>
      <c r="H69" s="707"/>
      <c r="I69" s="707"/>
      <c r="J69" s="707"/>
      <c r="K69" s="707"/>
      <c r="L69" s="707"/>
      <c r="M69" s="707"/>
      <c r="N69" s="707"/>
      <c r="O69" s="707"/>
      <c r="P69" s="707"/>
      <c r="Q69" s="707"/>
      <c r="R69" s="707"/>
      <c r="S69" s="707"/>
      <c r="T69" s="707"/>
      <c r="U69" s="707"/>
    </row>
    <row r="70" spans="1:21" x14ac:dyDescent="0.25">
      <c r="A70" s="707"/>
      <c r="B70" s="707"/>
      <c r="C70" s="707"/>
      <c r="D70" s="707"/>
      <c r="E70" s="707"/>
      <c r="F70" s="707"/>
      <c r="G70" s="707"/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</row>
    <row r="71" spans="1:21" x14ac:dyDescent="0.25">
      <c r="A71" s="707"/>
      <c r="B71" s="707"/>
      <c r="C71" s="707"/>
      <c r="D71" s="707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</row>
    <row r="72" spans="1:21" x14ac:dyDescent="0.25">
      <c r="A72" s="707"/>
      <c r="B72" s="707"/>
      <c r="C72" s="707"/>
      <c r="D72" s="707"/>
      <c r="E72" s="707"/>
      <c r="F72" s="707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</row>
    <row r="73" spans="1:21" x14ac:dyDescent="0.25">
      <c r="A73" s="707"/>
      <c r="B73" s="707"/>
      <c r="C73" s="707"/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</row>
    <row r="74" spans="1:21" x14ac:dyDescent="0.25">
      <c r="A74" s="707"/>
      <c r="B74" s="707"/>
      <c r="C74" s="707"/>
      <c r="D74" s="707"/>
      <c r="E74" s="707"/>
      <c r="F74" s="707"/>
      <c r="G74" s="707"/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</row>
    <row r="75" spans="1:21" x14ac:dyDescent="0.25">
      <c r="A75" s="707"/>
      <c r="B75" s="707"/>
      <c r="C75" s="707"/>
      <c r="D75" s="707"/>
      <c r="E75" s="707"/>
      <c r="F75" s="707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</row>
    <row r="76" spans="1:21" x14ac:dyDescent="0.25">
      <c r="A76" s="707"/>
      <c r="B76" s="707"/>
      <c r="C76" s="707"/>
      <c r="D76" s="707"/>
      <c r="E76" s="707"/>
      <c r="F76" s="707"/>
      <c r="G76" s="707"/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</row>
    <row r="77" spans="1:21" x14ac:dyDescent="0.25">
      <c r="A77" s="707"/>
      <c r="B77" s="707"/>
      <c r="C77" s="707"/>
      <c r="D77" s="707"/>
      <c r="E77" s="707"/>
      <c r="F77" s="707"/>
      <c r="G77" s="707"/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</row>
    <row r="78" spans="1:21" x14ac:dyDescent="0.25">
      <c r="A78" s="707"/>
      <c r="B78" s="707"/>
      <c r="C78" s="707"/>
      <c r="D78" s="707"/>
      <c r="E78" s="707"/>
      <c r="F78" s="707"/>
      <c r="G78" s="707"/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</row>
    <row r="79" spans="1:21" x14ac:dyDescent="0.25">
      <c r="A79" s="707"/>
      <c r="B79" s="707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</row>
    <row r="80" spans="1:21" x14ac:dyDescent="0.25">
      <c r="A80" s="707"/>
      <c r="B80" s="707"/>
      <c r="C80" s="707"/>
      <c r="D80" s="707"/>
      <c r="E80" s="707"/>
      <c r="F80" s="707"/>
      <c r="G80" s="707"/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</row>
    <row r="81" spans="1:21" x14ac:dyDescent="0.25">
      <c r="A81" s="707"/>
      <c r="B81" s="707"/>
      <c r="C81" s="707"/>
      <c r="D81" s="707"/>
      <c r="E81" s="707"/>
      <c r="F81" s="707"/>
      <c r="G81" s="707"/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</row>
    <row r="82" spans="1:21" x14ac:dyDescent="0.25">
      <c r="A82" s="707"/>
      <c r="B82" s="707"/>
      <c r="C82" s="707"/>
      <c r="D82" s="707"/>
      <c r="E82" s="707"/>
      <c r="F82" s="707"/>
      <c r="G82" s="707"/>
      <c r="H82" s="707"/>
      <c r="I82" s="707"/>
      <c r="J82" s="707"/>
      <c r="K82" s="707"/>
      <c r="L82" s="707"/>
      <c r="M82" s="707"/>
      <c r="N82" s="707"/>
      <c r="O82" s="707"/>
      <c r="P82" s="707"/>
      <c r="Q82" s="707"/>
      <c r="R82" s="707"/>
      <c r="S82" s="707"/>
      <c r="T82" s="707"/>
      <c r="U82" s="707"/>
    </row>
    <row r="83" spans="1:21" x14ac:dyDescent="0.25">
      <c r="A83" s="707"/>
      <c r="B83" s="707"/>
      <c r="C83" s="707"/>
      <c r="D83" s="707"/>
      <c r="E83" s="707"/>
      <c r="F83" s="707"/>
      <c r="G83" s="707"/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</row>
    <row r="84" spans="1:21" x14ac:dyDescent="0.25">
      <c r="A84" s="707"/>
      <c r="B84" s="707"/>
      <c r="C84" s="707"/>
      <c r="D84" s="707"/>
      <c r="E84" s="707"/>
      <c r="F84" s="707"/>
      <c r="G84" s="707"/>
      <c r="H84" s="707"/>
      <c r="I84" s="707"/>
      <c r="J84" s="707"/>
      <c r="K84" s="707"/>
      <c r="L84" s="707"/>
      <c r="M84" s="707"/>
      <c r="N84" s="707"/>
      <c r="O84" s="707"/>
      <c r="P84" s="707"/>
      <c r="Q84" s="707"/>
      <c r="R84" s="707"/>
      <c r="S84" s="707"/>
      <c r="T84" s="707"/>
      <c r="U84" s="707"/>
    </row>
    <row r="85" spans="1:21" x14ac:dyDescent="0.25">
      <c r="A85" s="707"/>
      <c r="B85" s="707"/>
      <c r="C85" s="707"/>
      <c r="D85" s="707"/>
      <c r="E85" s="707"/>
      <c r="F85" s="707"/>
      <c r="G85" s="707"/>
      <c r="H85" s="707"/>
      <c r="I85" s="707"/>
      <c r="J85" s="707"/>
      <c r="K85" s="707"/>
      <c r="L85" s="707"/>
      <c r="M85" s="707"/>
      <c r="N85" s="707"/>
      <c r="O85" s="707"/>
      <c r="P85" s="707"/>
      <c r="Q85" s="707"/>
      <c r="R85" s="707"/>
      <c r="S85" s="707"/>
      <c r="T85" s="707"/>
      <c r="U85" s="707"/>
    </row>
    <row r="86" spans="1:21" x14ac:dyDescent="0.25">
      <c r="A86" s="707"/>
      <c r="B86" s="707"/>
      <c r="C86" s="707"/>
      <c r="D86" s="707"/>
      <c r="E86" s="707"/>
      <c r="F86" s="707"/>
      <c r="G86" s="707"/>
      <c r="H86" s="707"/>
      <c r="I86" s="707"/>
      <c r="J86" s="707"/>
      <c r="K86" s="707"/>
      <c r="L86" s="707"/>
      <c r="M86" s="707"/>
      <c r="N86" s="707"/>
      <c r="O86" s="707"/>
      <c r="P86" s="707"/>
      <c r="Q86" s="707"/>
      <c r="R86" s="707"/>
      <c r="S86" s="707"/>
      <c r="T86" s="707"/>
      <c r="U86" s="707"/>
    </row>
    <row r="87" spans="1:21" x14ac:dyDescent="0.25">
      <c r="A87" s="707"/>
      <c r="B87" s="707"/>
      <c r="C87" s="707"/>
      <c r="D87" s="707"/>
      <c r="E87" s="707"/>
      <c r="F87" s="707"/>
      <c r="G87" s="707"/>
      <c r="H87" s="707"/>
      <c r="I87" s="707"/>
      <c r="J87" s="707"/>
      <c r="K87" s="707"/>
      <c r="L87" s="707"/>
      <c r="M87" s="707"/>
      <c r="N87" s="707"/>
      <c r="O87" s="707"/>
      <c r="P87" s="707"/>
      <c r="Q87" s="707"/>
      <c r="R87" s="707"/>
      <c r="S87" s="707"/>
      <c r="T87" s="707"/>
      <c r="U87" s="707"/>
    </row>
    <row r="88" spans="1:21" x14ac:dyDescent="0.25">
      <c r="A88" s="707"/>
      <c r="B88" s="707"/>
      <c r="C88" s="707"/>
      <c r="D88" s="707"/>
      <c r="E88" s="707"/>
      <c r="F88" s="707"/>
      <c r="G88" s="707"/>
      <c r="H88" s="707"/>
      <c r="I88" s="707"/>
      <c r="J88" s="707"/>
      <c r="K88" s="707"/>
      <c r="L88" s="707"/>
      <c r="M88" s="707"/>
      <c r="N88" s="707"/>
      <c r="O88" s="707"/>
      <c r="P88" s="707"/>
      <c r="Q88" s="707"/>
      <c r="R88" s="707"/>
      <c r="S88" s="707"/>
      <c r="T88" s="707"/>
      <c r="U88" s="707"/>
    </row>
    <row r="89" spans="1:21" x14ac:dyDescent="0.25">
      <c r="A89" s="707"/>
      <c r="B89" s="707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  <c r="P89" s="707"/>
      <c r="Q89" s="707"/>
      <c r="R89" s="707"/>
      <c r="S89" s="707"/>
      <c r="T89" s="707"/>
      <c r="U89" s="707"/>
    </row>
    <row r="90" spans="1:21" x14ac:dyDescent="0.25">
      <c r="A90" s="707"/>
      <c r="B90" s="707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  <c r="P90" s="707"/>
      <c r="Q90" s="707"/>
      <c r="R90" s="707"/>
      <c r="S90" s="707"/>
      <c r="T90" s="707"/>
      <c r="U90" s="707"/>
    </row>
    <row r="91" spans="1:21" x14ac:dyDescent="0.25">
      <c r="A91" s="707"/>
      <c r="B91" s="707"/>
      <c r="C91" s="707"/>
      <c r="D91" s="707"/>
      <c r="E91" s="707"/>
      <c r="F91" s="707"/>
      <c r="G91" s="707"/>
      <c r="H91" s="707"/>
      <c r="I91" s="707"/>
      <c r="J91" s="707"/>
      <c r="K91" s="707"/>
      <c r="L91" s="707"/>
      <c r="M91" s="707"/>
      <c r="N91" s="707"/>
      <c r="O91" s="707"/>
      <c r="P91" s="707"/>
      <c r="Q91" s="707"/>
      <c r="R91" s="707"/>
      <c r="S91" s="707"/>
      <c r="T91" s="707"/>
      <c r="U91" s="707"/>
    </row>
    <row r="92" spans="1:21" x14ac:dyDescent="0.25">
      <c r="A92" s="707"/>
      <c r="B92" s="707"/>
      <c r="C92" s="707"/>
      <c r="D92" s="707"/>
      <c r="E92" s="707"/>
      <c r="F92" s="707"/>
      <c r="G92" s="707"/>
      <c r="H92" s="707"/>
      <c r="I92" s="707"/>
      <c r="J92" s="707"/>
      <c r="K92" s="707"/>
      <c r="L92" s="707"/>
      <c r="M92" s="707"/>
      <c r="N92" s="707"/>
      <c r="O92" s="707"/>
      <c r="P92" s="707"/>
      <c r="Q92" s="707"/>
      <c r="R92" s="707"/>
      <c r="S92" s="707"/>
      <c r="T92" s="707"/>
      <c r="U92" s="707"/>
    </row>
    <row r="93" spans="1:21" x14ac:dyDescent="0.25">
      <c r="A93" s="707"/>
      <c r="B93" s="707"/>
      <c r="C93" s="707"/>
      <c r="D93" s="707"/>
      <c r="E93" s="707"/>
      <c r="F93" s="707"/>
      <c r="G93" s="707"/>
      <c r="H93" s="707"/>
      <c r="I93" s="707"/>
      <c r="J93" s="707"/>
      <c r="K93" s="707"/>
      <c r="L93" s="707"/>
      <c r="M93" s="707"/>
      <c r="N93" s="707"/>
      <c r="O93" s="707"/>
      <c r="P93" s="707"/>
      <c r="Q93" s="707"/>
      <c r="R93" s="707"/>
      <c r="S93" s="707"/>
      <c r="T93" s="707"/>
      <c r="U93" s="707"/>
    </row>
    <row r="94" spans="1:21" x14ac:dyDescent="0.25">
      <c r="A94" s="707"/>
      <c r="B94" s="707"/>
      <c r="C94" s="707"/>
      <c r="D94" s="707"/>
      <c r="E94" s="707"/>
      <c r="F94" s="707"/>
      <c r="G94" s="707"/>
      <c r="H94" s="707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</row>
    <row r="95" spans="1:21" x14ac:dyDescent="0.25">
      <c r="A95" s="707"/>
      <c r="B95" s="707"/>
      <c r="C95" s="707"/>
      <c r="D95" s="707"/>
      <c r="E95" s="707"/>
      <c r="F95" s="707"/>
      <c r="G95" s="707"/>
      <c r="H95" s="707"/>
      <c r="I95" s="707"/>
      <c r="J95" s="707"/>
      <c r="K95" s="707"/>
      <c r="L95" s="707"/>
      <c r="M95" s="707"/>
      <c r="N95" s="707"/>
      <c r="O95" s="707"/>
      <c r="P95" s="707"/>
      <c r="Q95" s="707"/>
      <c r="R95" s="707"/>
      <c r="S95" s="707"/>
      <c r="T95" s="707"/>
      <c r="U95" s="707"/>
    </row>
    <row r="96" spans="1:21" x14ac:dyDescent="0.25">
      <c r="A96" s="707"/>
      <c r="B96" s="707"/>
      <c r="C96" s="707"/>
      <c r="D96" s="707"/>
      <c r="E96" s="707"/>
      <c r="F96" s="707"/>
      <c r="G96" s="707"/>
      <c r="H96" s="707"/>
      <c r="I96" s="707"/>
      <c r="J96" s="707"/>
      <c r="K96" s="707"/>
      <c r="L96" s="707"/>
      <c r="M96" s="707"/>
      <c r="N96" s="707"/>
      <c r="O96" s="707"/>
      <c r="P96" s="707"/>
      <c r="Q96" s="707"/>
      <c r="R96" s="707"/>
      <c r="S96" s="707"/>
      <c r="T96" s="707"/>
      <c r="U96" s="707"/>
    </row>
    <row r="97" spans="1:21" x14ac:dyDescent="0.25">
      <c r="A97" s="707"/>
      <c r="B97" s="707"/>
      <c r="C97" s="707"/>
      <c r="D97" s="707"/>
      <c r="E97" s="707"/>
      <c r="F97" s="707"/>
      <c r="G97" s="707"/>
      <c r="H97" s="707"/>
      <c r="I97" s="707"/>
      <c r="J97" s="707"/>
      <c r="K97" s="707"/>
      <c r="L97" s="707"/>
      <c r="M97" s="707"/>
      <c r="N97" s="707"/>
      <c r="O97" s="707"/>
      <c r="P97" s="707"/>
      <c r="Q97" s="707"/>
      <c r="R97" s="707"/>
      <c r="S97" s="707"/>
      <c r="T97" s="707"/>
      <c r="U97" s="707"/>
    </row>
    <row r="98" spans="1:21" x14ac:dyDescent="0.25">
      <c r="A98" s="707"/>
      <c r="B98" s="707"/>
      <c r="C98" s="707"/>
      <c r="D98" s="707"/>
      <c r="E98" s="707"/>
      <c r="F98" s="707"/>
      <c r="G98" s="707"/>
      <c r="H98" s="707"/>
      <c r="I98" s="707"/>
      <c r="J98" s="707"/>
      <c r="K98" s="707"/>
      <c r="L98" s="707"/>
      <c r="M98" s="707"/>
      <c r="N98" s="707"/>
      <c r="O98" s="707"/>
      <c r="P98" s="707"/>
      <c r="Q98" s="707"/>
      <c r="R98" s="707"/>
      <c r="S98" s="707"/>
      <c r="T98" s="707"/>
      <c r="U98" s="707"/>
    </row>
    <row r="99" spans="1:21" x14ac:dyDescent="0.25">
      <c r="A99" s="707"/>
      <c r="B99" s="707"/>
      <c r="C99" s="707"/>
      <c r="D99" s="707"/>
      <c r="E99" s="707"/>
      <c r="F99" s="707"/>
      <c r="G99" s="707"/>
      <c r="H99" s="707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7"/>
      <c r="T99" s="707"/>
      <c r="U99" s="707"/>
    </row>
    <row r="100" spans="1:21" x14ac:dyDescent="0.25">
      <c r="A100" s="707"/>
      <c r="B100" s="707"/>
      <c r="C100" s="707"/>
      <c r="D100" s="707"/>
      <c r="E100" s="707"/>
      <c r="F100" s="707"/>
      <c r="G100" s="707"/>
      <c r="H100" s="707"/>
      <c r="I100" s="707"/>
      <c r="J100" s="707"/>
      <c r="K100" s="707"/>
      <c r="L100" s="707"/>
      <c r="M100" s="707"/>
      <c r="N100" s="707"/>
      <c r="O100" s="707"/>
      <c r="P100" s="707"/>
      <c r="Q100" s="707"/>
      <c r="R100" s="707"/>
      <c r="S100" s="707"/>
      <c r="T100" s="707"/>
      <c r="U100" s="707"/>
    </row>
    <row r="101" spans="1:21" x14ac:dyDescent="0.25">
      <c r="A101" s="707"/>
      <c r="B101" s="707"/>
      <c r="C101" s="707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</row>
    <row r="102" spans="1:21" x14ac:dyDescent="0.25">
      <c r="A102" s="707"/>
      <c r="B102" s="707"/>
      <c r="C102" s="707"/>
      <c r="D102" s="707"/>
      <c r="E102" s="707"/>
      <c r="F102" s="707"/>
      <c r="G102" s="707"/>
      <c r="H102" s="707"/>
      <c r="I102" s="707"/>
      <c r="J102" s="707"/>
      <c r="K102" s="707"/>
      <c r="L102" s="707"/>
      <c r="M102" s="707"/>
      <c r="N102" s="707"/>
      <c r="O102" s="707"/>
      <c r="P102" s="707"/>
      <c r="Q102" s="707"/>
      <c r="R102" s="707"/>
      <c r="S102" s="707"/>
      <c r="T102" s="707"/>
      <c r="U102" s="707"/>
    </row>
    <row r="103" spans="1:21" x14ac:dyDescent="0.25">
      <c r="A103" s="707"/>
      <c r="B103" s="707"/>
      <c r="C103" s="707"/>
      <c r="D103" s="707"/>
      <c r="E103" s="707"/>
      <c r="F103" s="707"/>
      <c r="G103" s="707"/>
      <c r="H103" s="707"/>
      <c r="I103" s="707"/>
      <c r="J103" s="707"/>
      <c r="K103" s="707"/>
      <c r="L103" s="707"/>
      <c r="M103" s="707"/>
      <c r="N103" s="707"/>
      <c r="O103" s="707"/>
      <c r="P103" s="707"/>
      <c r="Q103" s="707"/>
      <c r="R103" s="707"/>
      <c r="S103" s="707"/>
      <c r="T103" s="707"/>
      <c r="U103" s="707"/>
    </row>
    <row r="104" spans="1:21" x14ac:dyDescent="0.25">
      <c r="A104" s="707"/>
      <c r="B104" s="707"/>
      <c r="C104" s="707"/>
      <c r="D104" s="707"/>
      <c r="E104" s="707"/>
      <c r="F104" s="707"/>
      <c r="G104" s="707"/>
      <c r="H104" s="707"/>
      <c r="I104" s="707"/>
      <c r="J104" s="707"/>
      <c r="K104" s="707"/>
      <c r="L104" s="707"/>
      <c r="M104" s="707"/>
      <c r="N104" s="707"/>
      <c r="O104" s="707"/>
      <c r="P104" s="707"/>
      <c r="Q104" s="707"/>
      <c r="R104" s="707"/>
      <c r="S104" s="707"/>
      <c r="T104" s="707"/>
      <c r="U104" s="707"/>
    </row>
    <row r="105" spans="1:21" x14ac:dyDescent="0.25">
      <c r="A105" s="707"/>
      <c r="B105" s="707"/>
      <c r="C105" s="707"/>
      <c r="D105" s="707"/>
      <c r="E105" s="707"/>
      <c r="F105" s="707"/>
      <c r="G105" s="707"/>
      <c r="H105" s="707"/>
      <c r="I105" s="707"/>
      <c r="J105" s="707"/>
      <c r="K105" s="707"/>
      <c r="L105" s="707"/>
      <c r="M105" s="707"/>
      <c r="N105" s="707"/>
      <c r="O105" s="707"/>
      <c r="P105" s="707"/>
      <c r="Q105" s="707"/>
      <c r="R105" s="707"/>
      <c r="S105" s="707"/>
      <c r="T105" s="707"/>
      <c r="U105" s="707"/>
    </row>
    <row r="106" spans="1:21" x14ac:dyDescent="0.25">
      <c r="A106" s="707"/>
      <c r="B106" s="707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  <c r="P106" s="707"/>
      <c r="Q106" s="707"/>
      <c r="R106" s="707"/>
      <c r="S106" s="707"/>
      <c r="T106" s="707"/>
      <c r="U106" s="707"/>
    </row>
    <row r="107" spans="1:21" x14ac:dyDescent="0.25">
      <c r="A107" s="707"/>
      <c r="B107" s="707"/>
      <c r="C107" s="707"/>
      <c r="D107" s="707"/>
      <c r="E107" s="707"/>
      <c r="F107" s="707"/>
      <c r="G107" s="707"/>
      <c r="H107" s="707"/>
      <c r="I107" s="707"/>
      <c r="J107" s="707"/>
      <c r="K107" s="707"/>
      <c r="L107" s="707"/>
      <c r="M107" s="707"/>
      <c r="N107" s="707"/>
      <c r="O107" s="707"/>
      <c r="P107" s="707"/>
      <c r="Q107" s="707"/>
      <c r="R107" s="707"/>
      <c r="S107" s="707"/>
      <c r="T107" s="707"/>
      <c r="U107" s="707"/>
    </row>
    <row r="108" spans="1:21" x14ac:dyDescent="0.25">
      <c r="A108" s="707"/>
      <c r="B108" s="707"/>
      <c r="C108" s="707"/>
      <c r="D108" s="707"/>
      <c r="E108" s="707"/>
      <c r="F108" s="707"/>
      <c r="G108" s="707"/>
      <c r="H108" s="707"/>
      <c r="I108" s="707"/>
      <c r="J108" s="707"/>
      <c r="K108" s="707"/>
      <c r="L108" s="707"/>
      <c r="M108" s="707"/>
      <c r="N108" s="707"/>
      <c r="O108" s="707"/>
      <c r="P108" s="707"/>
      <c r="Q108" s="707"/>
      <c r="R108" s="707"/>
      <c r="S108" s="707"/>
      <c r="T108" s="707"/>
      <c r="U108" s="707"/>
    </row>
    <row r="109" spans="1:21" x14ac:dyDescent="0.25">
      <c r="A109" s="707"/>
      <c r="B109" s="707"/>
      <c r="C109" s="707"/>
      <c r="D109" s="707"/>
      <c r="E109" s="707"/>
      <c r="F109" s="707"/>
      <c r="G109" s="707"/>
      <c r="H109" s="707"/>
      <c r="I109" s="707"/>
      <c r="J109" s="707"/>
      <c r="K109" s="707"/>
      <c r="L109" s="707"/>
      <c r="M109" s="707"/>
      <c r="N109" s="707"/>
      <c r="O109" s="707"/>
      <c r="P109" s="707"/>
      <c r="Q109" s="707"/>
      <c r="R109" s="707"/>
      <c r="S109" s="707"/>
      <c r="T109" s="707"/>
      <c r="U109" s="707"/>
    </row>
    <row r="110" spans="1:21" x14ac:dyDescent="0.25">
      <c r="A110" s="707"/>
      <c r="B110" s="707"/>
      <c r="C110" s="707"/>
      <c r="D110" s="707"/>
      <c r="E110" s="707"/>
      <c r="F110" s="707"/>
      <c r="G110" s="707"/>
      <c r="H110" s="707"/>
      <c r="I110" s="707"/>
      <c r="J110" s="707"/>
      <c r="K110" s="707"/>
      <c r="L110" s="707"/>
      <c r="M110" s="707"/>
      <c r="N110" s="707"/>
      <c r="O110" s="707"/>
      <c r="P110" s="707"/>
      <c r="Q110" s="707"/>
      <c r="R110" s="707"/>
      <c r="S110" s="707"/>
      <c r="T110" s="707"/>
      <c r="U110" s="707"/>
    </row>
    <row r="111" spans="1:21" x14ac:dyDescent="0.25">
      <c r="A111" s="707"/>
      <c r="B111" s="707"/>
      <c r="C111" s="707"/>
      <c r="D111" s="707"/>
      <c r="E111" s="707"/>
      <c r="F111" s="707"/>
      <c r="G111" s="707"/>
      <c r="H111" s="707"/>
      <c r="I111" s="707"/>
      <c r="J111" s="707"/>
      <c r="K111" s="707"/>
      <c r="L111" s="707"/>
      <c r="M111" s="707"/>
      <c r="N111" s="707"/>
      <c r="O111" s="707"/>
      <c r="P111" s="707"/>
      <c r="Q111" s="707"/>
      <c r="R111" s="707"/>
      <c r="S111" s="707"/>
      <c r="T111" s="707"/>
      <c r="U111" s="707"/>
    </row>
    <row r="112" spans="1:21" x14ac:dyDescent="0.25">
      <c r="A112" s="707"/>
      <c r="B112" s="707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  <c r="P112" s="707"/>
      <c r="Q112" s="707"/>
      <c r="R112" s="707"/>
      <c r="S112" s="707"/>
      <c r="T112" s="707"/>
      <c r="U112" s="707"/>
    </row>
    <row r="113" spans="1:21" x14ac:dyDescent="0.25">
      <c r="A113" s="707"/>
      <c r="B113" s="707"/>
      <c r="C113" s="707"/>
      <c r="D113" s="707"/>
      <c r="E113" s="707"/>
      <c r="F113" s="707"/>
      <c r="G113" s="707"/>
      <c r="H113" s="707"/>
      <c r="I113" s="707"/>
      <c r="J113" s="707"/>
      <c r="K113" s="707"/>
      <c r="L113" s="707"/>
      <c r="M113" s="707"/>
      <c r="N113" s="707"/>
      <c r="O113" s="707"/>
      <c r="P113" s="707"/>
      <c r="Q113" s="707"/>
      <c r="R113" s="707"/>
      <c r="S113" s="707"/>
      <c r="T113" s="707"/>
      <c r="U113" s="707"/>
    </row>
    <row r="114" spans="1:21" x14ac:dyDescent="0.25">
      <c r="A114" s="707"/>
      <c r="B114" s="707"/>
      <c r="C114" s="707"/>
      <c r="D114" s="707"/>
      <c r="E114" s="707"/>
      <c r="F114" s="707"/>
      <c r="G114" s="707"/>
      <c r="H114" s="707"/>
      <c r="I114" s="707"/>
      <c r="J114" s="707"/>
      <c r="K114" s="707"/>
      <c r="L114" s="707"/>
      <c r="M114" s="707"/>
      <c r="N114" s="707"/>
      <c r="O114" s="707"/>
      <c r="P114" s="707"/>
      <c r="Q114" s="707"/>
      <c r="R114" s="707"/>
      <c r="S114" s="707"/>
      <c r="T114" s="707"/>
      <c r="U114" s="707"/>
    </row>
    <row r="115" spans="1:21" x14ac:dyDescent="0.25">
      <c r="A115" s="707"/>
      <c r="B115" s="707"/>
      <c r="C115" s="707"/>
      <c r="D115" s="707"/>
      <c r="E115" s="707"/>
      <c r="F115" s="707"/>
      <c r="G115" s="707"/>
      <c r="H115" s="707"/>
      <c r="I115" s="707"/>
      <c r="J115" s="707"/>
      <c r="K115" s="707"/>
      <c r="L115" s="707"/>
      <c r="M115" s="707"/>
      <c r="N115" s="707"/>
      <c r="O115" s="707"/>
      <c r="P115" s="707"/>
      <c r="Q115" s="707"/>
      <c r="R115" s="707"/>
      <c r="S115" s="707"/>
      <c r="T115" s="707"/>
      <c r="U115" s="707"/>
    </row>
    <row r="116" spans="1:21" x14ac:dyDescent="0.25">
      <c r="A116" s="707"/>
      <c r="B116" s="707"/>
      <c r="C116" s="707"/>
      <c r="D116" s="707"/>
      <c r="E116" s="707"/>
      <c r="F116" s="707"/>
      <c r="G116" s="707"/>
      <c r="H116" s="707"/>
      <c r="I116" s="707"/>
      <c r="J116" s="707"/>
      <c r="K116" s="707"/>
      <c r="L116" s="707"/>
      <c r="M116" s="707"/>
      <c r="N116" s="707"/>
      <c r="O116" s="707"/>
      <c r="P116" s="707"/>
      <c r="Q116" s="707"/>
      <c r="R116" s="707"/>
      <c r="S116" s="707"/>
      <c r="T116" s="707"/>
      <c r="U116" s="707"/>
    </row>
    <row r="117" spans="1:21" x14ac:dyDescent="0.25">
      <c r="A117" s="707"/>
      <c r="B117" s="707"/>
      <c r="C117" s="707"/>
      <c r="D117" s="707"/>
      <c r="E117" s="707"/>
      <c r="F117" s="707"/>
      <c r="G117" s="707"/>
      <c r="H117" s="707"/>
      <c r="I117" s="707"/>
      <c r="J117" s="707"/>
      <c r="K117" s="707"/>
      <c r="L117" s="707"/>
      <c r="M117" s="707"/>
      <c r="N117" s="707"/>
      <c r="O117" s="707"/>
      <c r="P117" s="707"/>
      <c r="Q117" s="707"/>
      <c r="R117" s="707"/>
      <c r="S117" s="707"/>
      <c r="T117" s="707"/>
      <c r="U117" s="707"/>
    </row>
    <row r="118" spans="1:21" x14ac:dyDescent="0.25">
      <c r="A118" s="707"/>
      <c r="B118" s="707"/>
      <c r="C118" s="707"/>
      <c r="D118" s="707"/>
      <c r="E118" s="707"/>
      <c r="F118" s="707"/>
      <c r="G118" s="707"/>
      <c r="H118" s="707"/>
      <c r="I118" s="707"/>
      <c r="J118" s="707"/>
      <c r="K118" s="707"/>
      <c r="L118" s="707"/>
      <c r="M118" s="707"/>
      <c r="N118" s="707"/>
      <c r="O118" s="707"/>
      <c r="P118" s="707"/>
      <c r="Q118" s="707"/>
      <c r="R118" s="707"/>
      <c r="S118" s="707"/>
      <c r="T118" s="707"/>
      <c r="U118" s="707"/>
    </row>
    <row r="119" spans="1:21" x14ac:dyDescent="0.25">
      <c r="A119" s="707"/>
      <c r="B119" s="707"/>
      <c r="C119" s="707"/>
      <c r="D119" s="707"/>
      <c r="E119" s="707"/>
      <c r="F119" s="707"/>
      <c r="G119" s="707"/>
      <c r="H119" s="707"/>
      <c r="I119" s="707"/>
      <c r="J119" s="707"/>
      <c r="K119" s="707"/>
      <c r="L119" s="707"/>
      <c r="M119" s="707"/>
      <c r="N119" s="707"/>
      <c r="O119" s="707"/>
      <c r="P119" s="707"/>
      <c r="Q119" s="707"/>
      <c r="R119" s="707"/>
      <c r="S119" s="707"/>
      <c r="T119" s="707"/>
      <c r="U119" s="707"/>
    </row>
    <row r="120" spans="1:21" x14ac:dyDescent="0.25">
      <c r="A120" s="707"/>
      <c r="B120" s="707"/>
      <c r="C120" s="707"/>
      <c r="D120" s="707"/>
      <c r="E120" s="707"/>
      <c r="F120" s="707"/>
      <c r="G120" s="707"/>
      <c r="H120" s="707"/>
      <c r="I120" s="707"/>
      <c r="J120" s="707"/>
      <c r="K120" s="707"/>
      <c r="L120" s="707"/>
      <c r="M120" s="707"/>
      <c r="N120" s="707"/>
      <c r="O120" s="707"/>
      <c r="P120" s="707"/>
      <c r="Q120" s="707"/>
      <c r="R120" s="707"/>
      <c r="S120" s="707"/>
      <c r="T120" s="707"/>
      <c r="U120" s="707"/>
    </row>
    <row r="121" spans="1:21" x14ac:dyDescent="0.25">
      <c r="A121" s="707"/>
      <c r="B121" s="707"/>
      <c r="C121" s="707"/>
      <c r="D121" s="707"/>
      <c r="E121" s="707"/>
      <c r="F121" s="707"/>
      <c r="G121" s="707"/>
      <c r="H121" s="707"/>
      <c r="I121" s="707"/>
      <c r="J121" s="707"/>
      <c r="K121" s="707"/>
      <c r="L121" s="707"/>
      <c r="M121" s="707"/>
      <c r="N121" s="707"/>
      <c r="O121" s="707"/>
      <c r="P121" s="707"/>
      <c r="Q121" s="707"/>
      <c r="R121" s="707"/>
      <c r="S121" s="707"/>
      <c r="T121" s="707"/>
      <c r="U121" s="707"/>
    </row>
    <row r="122" spans="1:21" x14ac:dyDescent="0.25">
      <c r="A122" s="707"/>
      <c r="B122" s="707"/>
      <c r="C122" s="707"/>
      <c r="D122" s="707"/>
      <c r="E122" s="707"/>
      <c r="F122" s="707"/>
      <c r="G122" s="707"/>
      <c r="H122" s="707"/>
      <c r="I122" s="707"/>
      <c r="J122" s="707"/>
      <c r="K122" s="707"/>
      <c r="L122" s="707"/>
      <c r="M122" s="707"/>
      <c r="N122" s="707"/>
      <c r="O122" s="707"/>
      <c r="P122" s="707"/>
      <c r="Q122" s="707"/>
      <c r="R122" s="707"/>
      <c r="S122" s="707"/>
      <c r="T122" s="707"/>
      <c r="U122" s="707"/>
    </row>
    <row r="123" spans="1:21" x14ac:dyDescent="0.25">
      <c r="A123" s="707"/>
      <c r="B123" s="707"/>
      <c r="C123" s="707"/>
      <c r="D123" s="707"/>
      <c r="E123" s="707"/>
      <c r="F123" s="707"/>
      <c r="G123" s="707"/>
      <c r="H123" s="707"/>
      <c r="I123" s="707"/>
      <c r="J123" s="707"/>
      <c r="K123" s="707"/>
      <c r="L123" s="707"/>
      <c r="M123" s="707"/>
      <c r="N123" s="707"/>
      <c r="O123" s="707"/>
      <c r="P123" s="707"/>
      <c r="Q123" s="707"/>
      <c r="R123" s="707"/>
      <c r="S123" s="707"/>
      <c r="T123" s="707"/>
      <c r="U123" s="707"/>
    </row>
    <row r="124" spans="1:21" x14ac:dyDescent="0.25">
      <c r="A124" s="707"/>
      <c r="B124" s="707"/>
      <c r="C124" s="707"/>
      <c r="D124" s="707"/>
      <c r="E124" s="707"/>
      <c r="F124" s="707"/>
      <c r="G124" s="707"/>
      <c r="H124" s="707"/>
      <c r="I124" s="707"/>
      <c r="J124" s="707"/>
      <c r="K124" s="707"/>
      <c r="L124" s="707"/>
      <c r="M124" s="707"/>
      <c r="N124" s="707"/>
      <c r="O124" s="707"/>
      <c r="P124" s="707"/>
      <c r="Q124" s="707"/>
      <c r="R124" s="707"/>
      <c r="S124" s="707"/>
      <c r="T124" s="707"/>
      <c r="U124" s="707"/>
    </row>
    <row r="125" spans="1:21" x14ac:dyDescent="0.25">
      <c r="A125" s="707"/>
      <c r="B125" s="707"/>
      <c r="C125" s="707"/>
      <c r="D125" s="707"/>
      <c r="E125" s="707"/>
      <c r="F125" s="707"/>
      <c r="G125" s="707"/>
      <c r="H125" s="707"/>
      <c r="I125" s="707"/>
      <c r="J125" s="707"/>
      <c r="K125" s="707"/>
      <c r="L125" s="707"/>
      <c r="M125" s="707"/>
      <c r="N125" s="707"/>
      <c r="O125" s="707"/>
      <c r="P125" s="707"/>
      <c r="Q125" s="707"/>
      <c r="R125" s="707"/>
      <c r="S125" s="707"/>
      <c r="T125" s="707"/>
      <c r="U125" s="707"/>
    </row>
    <row r="126" spans="1:21" x14ac:dyDescent="0.25">
      <c r="A126" s="707"/>
      <c r="B126" s="707"/>
      <c r="C126" s="707"/>
      <c r="D126" s="707"/>
      <c r="E126" s="707"/>
      <c r="F126" s="707"/>
      <c r="G126" s="707"/>
      <c r="H126" s="707"/>
      <c r="I126" s="707"/>
      <c r="J126" s="707"/>
      <c r="K126" s="707"/>
      <c r="L126" s="707"/>
      <c r="M126" s="707"/>
      <c r="N126" s="707"/>
      <c r="O126" s="707"/>
      <c r="P126" s="707"/>
      <c r="Q126" s="707"/>
      <c r="R126" s="707"/>
      <c r="S126" s="707"/>
      <c r="T126" s="707"/>
      <c r="U126" s="707"/>
    </row>
    <row r="127" spans="1:21" x14ac:dyDescent="0.25">
      <c r="A127" s="707"/>
      <c r="B127" s="707"/>
      <c r="C127" s="707"/>
      <c r="D127" s="707"/>
      <c r="E127" s="707"/>
      <c r="F127" s="707"/>
      <c r="G127" s="707"/>
      <c r="H127" s="707"/>
      <c r="I127" s="707"/>
      <c r="J127" s="707"/>
      <c r="K127" s="707"/>
      <c r="L127" s="707"/>
      <c r="M127" s="707"/>
      <c r="N127" s="707"/>
      <c r="O127" s="707"/>
      <c r="P127" s="707"/>
      <c r="Q127" s="707"/>
      <c r="R127" s="707"/>
      <c r="S127" s="707"/>
      <c r="T127" s="707"/>
      <c r="U127" s="707"/>
    </row>
    <row r="128" spans="1:21" x14ac:dyDescent="0.25">
      <c r="A128" s="707"/>
      <c r="B128" s="707"/>
      <c r="C128" s="707"/>
      <c r="D128" s="707"/>
      <c r="E128" s="707"/>
      <c r="F128" s="707"/>
      <c r="G128" s="707"/>
      <c r="H128" s="707"/>
      <c r="I128" s="707"/>
      <c r="J128" s="707"/>
      <c r="K128" s="707"/>
      <c r="L128" s="707"/>
      <c r="M128" s="707"/>
      <c r="N128" s="707"/>
      <c r="O128" s="707"/>
      <c r="P128" s="707"/>
      <c r="Q128" s="707"/>
      <c r="R128" s="707"/>
      <c r="S128" s="707"/>
      <c r="T128" s="707"/>
      <c r="U128" s="707"/>
    </row>
    <row r="129" spans="1:21" x14ac:dyDescent="0.25">
      <c r="A129" s="707"/>
      <c r="B129" s="707"/>
      <c r="C129" s="707"/>
      <c r="D129" s="707"/>
      <c r="E129" s="707"/>
      <c r="F129" s="707"/>
      <c r="G129" s="707"/>
      <c r="H129" s="707"/>
      <c r="I129" s="707"/>
      <c r="J129" s="707"/>
      <c r="K129" s="707"/>
      <c r="L129" s="707"/>
      <c r="M129" s="707"/>
      <c r="N129" s="707"/>
      <c r="O129" s="707"/>
      <c r="P129" s="707"/>
      <c r="Q129" s="707"/>
      <c r="R129" s="707"/>
      <c r="S129" s="707"/>
      <c r="T129" s="707"/>
      <c r="U129" s="707"/>
    </row>
    <row r="130" spans="1:21" x14ac:dyDescent="0.25">
      <c r="A130" s="707"/>
      <c r="B130" s="707"/>
      <c r="C130" s="707"/>
      <c r="D130" s="707"/>
      <c r="E130" s="707"/>
      <c r="F130" s="707"/>
      <c r="G130" s="707"/>
      <c r="H130" s="707"/>
      <c r="I130" s="707"/>
      <c r="J130" s="707"/>
      <c r="K130" s="707"/>
      <c r="L130" s="707"/>
      <c r="M130" s="707"/>
      <c r="N130" s="707"/>
      <c r="O130" s="707"/>
      <c r="P130" s="707"/>
      <c r="Q130" s="707"/>
      <c r="R130" s="707"/>
      <c r="S130" s="707"/>
      <c r="T130" s="707"/>
      <c r="U130" s="707"/>
    </row>
    <row r="131" spans="1:21" x14ac:dyDescent="0.25">
      <c r="A131" s="707"/>
      <c r="B131" s="707"/>
      <c r="C131" s="707"/>
      <c r="D131" s="707"/>
      <c r="E131" s="707"/>
      <c r="F131" s="707"/>
      <c r="G131" s="707"/>
      <c r="H131" s="707"/>
      <c r="I131" s="707"/>
      <c r="J131" s="707"/>
      <c r="K131" s="707"/>
      <c r="L131" s="707"/>
      <c r="M131" s="707"/>
      <c r="N131" s="707"/>
      <c r="O131" s="707"/>
      <c r="P131" s="707"/>
      <c r="Q131" s="707"/>
      <c r="R131" s="707"/>
      <c r="S131" s="707"/>
      <c r="T131" s="707"/>
      <c r="U131" s="707"/>
    </row>
    <row r="132" spans="1:21" x14ac:dyDescent="0.25">
      <c r="A132" s="707"/>
      <c r="B132" s="707"/>
      <c r="C132" s="707"/>
      <c r="D132" s="707"/>
      <c r="E132" s="707"/>
      <c r="F132" s="707"/>
      <c r="G132" s="707"/>
      <c r="H132" s="707"/>
      <c r="I132" s="707"/>
      <c r="J132" s="707"/>
      <c r="K132" s="707"/>
      <c r="L132" s="707"/>
      <c r="M132" s="707"/>
      <c r="N132" s="707"/>
      <c r="O132" s="707"/>
      <c r="P132" s="707"/>
      <c r="Q132" s="707"/>
      <c r="R132" s="707"/>
      <c r="S132" s="707"/>
      <c r="T132" s="707"/>
      <c r="U132" s="707"/>
    </row>
    <row r="133" spans="1:21" x14ac:dyDescent="0.25">
      <c r="A133" s="707"/>
      <c r="B133" s="707"/>
      <c r="C133" s="707"/>
      <c r="D133" s="707"/>
      <c r="E133" s="707"/>
      <c r="F133" s="707"/>
      <c r="G133" s="707"/>
      <c r="H133" s="707"/>
      <c r="I133" s="707"/>
      <c r="J133" s="707"/>
      <c r="K133" s="707"/>
      <c r="L133" s="707"/>
      <c r="M133" s="707"/>
      <c r="N133" s="707"/>
      <c r="O133" s="707"/>
      <c r="P133" s="707"/>
      <c r="Q133" s="707"/>
      <c r="R133" s="707"/>
      <c r="S133" s="707"/>
      <c r="T133" s="707"/>
      <c r="U133" s="707"/>
    </row>
    <row r="134" spans="1:21" x14ac:dyDescent="0.25">
      <c r="A134" s="707"/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</row>
    <row r="135" spans="1:21" x14ac:dyDescent="0.25">
      <c r="A135" s="707"/>
      <c r="B135" s="707"/>
      <c r="C135" s="707"/>
      <c r="D135" s="707"/>
      <c r="E135" s="707"/>
      <c r="F135" s="707"/>
      <c r="G135" s="707"/>
      <c r="H135" s="707"/>
      <c r="I135" s="707"/>
      <c r="J135" s="707"/>
      <c r="K135" s="707"/>
      <c r="L135" s="707"/>
      <c r="M135" s="707"/>
      <c r="N135" s="707"/>
      <c r="O135" s="707"/>
      <c r="P135" s="707"/>
      <c r="Q135" s="707"/>
      <c r="R135" s="707"/>
      <c r="S135" s="707"/>
      <c r="T135" s="707"/>
      <c r="U135" s="707"/>
    </row>
    <row r="136" spans="1:21" x14ac:dyDescent="0.25">
      <c r="A136" s="707"/>
      <c r="B136" s="707"/>
      <c r="C136" s="707"/>
      <c r="D136" s="707"/>
      <c r="E136" s="707"/>
      <c r="F136" s="707"/>
      <c r="G136" s="707"/>
      <c r="H136" s="707"/>
      <c r="I136" s="707"/>
      <c r="J136" s="707"/>
      <c r="K136" s="707"/>
      <c r="L136" s="707"/>
      <c r="M136" s="707"/>
      <c r="N136" s="707"/>
      <c r="O136" s="707"/>
      <c r="P136" s="707"/>
      <c r="Q136" s="707"/>
      <c r="R136" s="707"/>
      <c r="S136" s="707"/>
      <c r="T136" s="707"/>
      <c r="U136" s="707"/>
    </row>
  </sheetData>
  <sheetProtection algorithmName="SHA-512" hashValue="R3YhvVIM9AUjt3oszmF2HCFtHe57J8f5ybGjPRcKjWhVnMsMgTm8oH0Ey0zJiT0m5/Yx70ztdhiRiymrvtqw4g==" saltValue="/mQhgYJ1PKlm5sYik3Ftow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83"/>
  <sheetViews>
    <sheetView showGridLines="0" topLeftCell="A69" zoomScaleNormal="100" workbookViewId="0">
      <selection activeCell="D5" sqref="D5:G5"/>
    </sheetView>
  </sheetViews>
  <sheetFormatPr defaultRowHeight="15" x14ac:dyDescent="0.25"/>
  <cols>
    <col min="1" max="1" width="3" customWidth="1"/>
    <col min="2" max="2" width="22.5703125" customWidth="1"/>
    <col min="3" max="3" width="16" style="2" customWidth="1"/>
    <col min="4" max="4" width="9.5703125" customWidth="1"/>
    <col min="5" max="5" width="8.42578125" customWidth="1"/>
    <col min="6" max="6" width="15.140625" customWidth="1"/>
    <col min="7" max="7" width="37.28515625" customWidth="1"/>
    <col min="8" max="8" width="5.7109375" customWidth="1"/>
    <col min="9" max="9" width="13.28515625" customWidth="1"/>
    <col min="10" max="10" width="5.7109375" customWidth="1"/>
    <col min="11" max="11" width="13.28515625" customWidth="1"/>
    <col min="12" max="12" width="5.7109375" customWidth="1"/>
    <col min="13" max="13" width="13.28515625" customWidth="1"/>
    <col min="14" max="14" width="5.7109375" customWidth="1"/>
    <col min="15" max="15" width="13.28515625" customWidth="1"/>
    <col min="16" max="16" width="5.7109375" customWidth="1"/>
    <col min="17" max="17" width="13.28515625" customWidth="1"/>
    <col min="18" max="18" width="5.7109375" customWidth="1"/>
    <col min="19" max="19" width="13.28515625" customWidth="1"/>
    <col min="20" max="20" width="3.7109375" customWidth="1"/>
    <col min="21" max="21" width="11.5703125" bestFit="1" customWidth="1"/>
  </cols>
  <sheetData>
    <row r="1" spans="1:20" ht="12.75" customHeight="1" x14ac:dyDescent="0.25"/>
    <row r="2" spans="1:20" ht="23.25" customHeight="1" x14ac:dyDescent="0.25">
      <c r="B2" s="2"/>
      <c r="E2" s="303" t="str">
        <f>+Purchases!D2</f>
        <v>2025 BayerValue™ Rebate Calculator</v>
      </c>
      <c r="F2" s="304"/>
      <c r="G2" s="304"/>
      <c r="O2" s="5"/>
      <c r="P2" s="5"/>
      <c r="Q2" s="5"/>
      <c r="R2" s="3"/>
    </row>
    <row r="3" spans="1:20" ht="21.75" customHeight="1" x14ac:dyDescent="0.3">
      <c r="B3" s="2"/>
      <c r="E3" s="305" t="s">
        <v>170</v>
      </c>
      <c r="F3" s="306"/>
      <c r="G3" s="306"/>
      <c r="H3" s="4"/>
      <c r="I3" s="909" t="str">
        <f>+Purchases!D72</f>
        <v>BayerValue™ Rewards</v>
      </c>
      <c r="J3" s="910"/>
      <c r="K3" s="910"/>
      <c r="L3" s="915">
        <f>+R64</f>
        <v>0</v>
      </c>
      <c r="M3" s="916"/>
      <c r="N3" s="916"/>
      <c r="O3" s="5"/>
      <c r="P3" s="5"/>
      <c r="Q3" s="5"/>
      <c r="R3" s="3"/>
    </row>
    <row r="4" spans="1:20" ht="10.5" customHeight="1" x14ac:dyDescent="0.25">
      <c r="A4" s="307"/>
      <c r="B4" s="308"/>
      <c r="C4" s="308"/>
      <c r="D4" s="307"/>
      <c r="E4" s="309"/>
      <c r="F4" s="307"/>
      <c r="G4" s="307"/>
      <c r="H4" s="307"/>
      <c r="I4" s="307"/>
      <c r="J4" s="307"/>
      <c r="K4" s="307"/>
      <c r="L4" s="307"/>
      <c r="M4" s="307"/>
      <c r="N4" s="307"/>
      <c r="O4" s="310"/>
      <c r="P4" s="310"/>
      <c r="Q4" s="310"/>
      <c r="R4" s="310"/>
      <c r="S4" s="307"/>
      <c r="T4" s="307"/>
    </row>
    <row r="5" spans="1:20" x14ac:dyDescent="0.25">
      <c r="A5" s="307"/>
      <c r="B5" s="311" t="s">
        <v>14</v>
      </c>
      <c r="C5" s="312"/>
      <c r="D5" s="917">
        <f>+Purchases!C6</f>
        <v>0</v>
      </c>
      <c r="E5" s="917"/>
      <c r="F5" s="917"/>
      <c r="G5" s="917"/>
      <c r="H5" s="307"/>
      <c r="I5" s="918">
        <f>+Purchases!C8</f>
        <v>0</v>
      </c>
      <c r="J5" s="918"/>
      <c r="K5" s="918"/>
      <c r="L5" s="919"/>
      <c r="M5" s="307"/>
      <c r="N5" s="307"/>
      <c r="O5" s="310"/>
      <c r="P5" s="310"/>
      <c r="Q5" s="310"/>
      <c r="R5" s="310"/>
      <c r="S5" s="308"/>
      <c r="T5" s="307"/>
    </row>
    <row r="6" spans="1:20" ht="12.75" customHeight="1" thickBot="1" x14ac:dyDescent="0.3">
      <c r="A6" s="307"/>
      <c r="B6" s="325"/>
      <c r="C6" s="311"/>
      <c r="D6" s="307"/>
      <c r="E6" s="307"/>
      <c r="F6" s="307"/>
      <c r="G6" s="325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</row>
    <row r="7" spans="1:20" ht="15.75" customHeight="1" thickBot="1" x14ac:dyDescent="0.3">
      <c r="A7" s="307"/>
      <c r="B7" s="313" t="s">
        <v>52</v>
      </c>
      <c r="C7" s="313" t="s">
        <v>140</v>
      </c>
      <c r="D7" s="314" t="s">
        <v>2</v>
      </c>
      <c r="E7" s="314" t="s">
        <v>1</v>
      </c>
      <c r="F7" s="313" t="str">
        <f>+Purchases!E12</f>
        <v>BayerValue Price</v>
      </c>
      <c r="G7" s="321" t="s">
        <v>52</v>
      </c>
      <c r="H7" s="924" t="s">
        <v>44</v>
      </c>
      <c r="I7" s="925"/>
      <c r="J7" s="920" t="s">
        <v>332</v>
      </c>
      <c r="K7" s="921"/>
      <c r="L7" s="924" t="s">
        <v>409</v>
      </c>
      <c r="M7" s="925"/>
      <c r="N7" s="920" t="s">
        <v>389</v>
      </c>
      <c r="O7" s="921"/>
      <c r="P7" s="920" t="s">
        <v>408</v>
      </c>
      <c r="Q7" s="921"/>
      <c r="R7" s="924" t="s">
        <v>51</v>
      </c>
      <c r="S7" s="925"/>
      <c r="T7" s="307"/>
    </row>
    <row r="8" spans="1:20" ht="27.75" customHeight="1" thickBot="1" x14ac:dyDescent="0.3">
      <c r="A8" s="307"/>
      <c r="B8" s="315"/>
      <c r="C8" s="316"/>
      <c r="D8" s="911" t="s">
        <v>165</v>
      </c>
      <c r="E8" s="912"/>
      <c r="F8" s="317"/>
      <c r="G8" s="322"/>
      <c r="H8" s="926"/>
      <c r="I8" s="927"/>
      <c r="J8" s="922"/>
      <c r="K8" s="923"/>
      <c r="L8" s="926"/>
      <c r="M8" s="927"/>
      <c r="N8" s="922"/>
      <c r="O8" s="923"/>
      <c r="P8" s="922"/>
      <c r="Q8" s="923"/>
      <c r="R8" s="926"/>
      <c r="S8" s="927"/>
      <c r="T8" s="307"/>
    </row>
    <row r="9" spans="1:20" ht="16.5" customHeight="1" thickBot="1" x14ac:dyDescent="0.3">
      <c r="A9" s="307"/>
      <c r="B9" s="318"/>
      <c r="C9" s="319"/>
      <c r="D9" s="913"/>
      <c r="E9" s="914"/>
      <c r="F9" s="320"/>
      <c r="G9" s="323"/>
      <c r="H9" s="14" t="s">
        <v>6</v>
      </c>
      <c r="I9" s="14" t="s">
        <v>7</v>
      </c>
      <c r="J9" s="10" t="s">
        <v>6</v>
      </c>
      <c r="K9" s="10" t="s">
        <v>7</v>
      </c>
      <c r="L9" s="14" t="s">
        <v>6</v>
      </c>
      <c r="M9" s="14" t="s">
        <v>7</v>
      </c>
      <c r="N9" s="10" t="s">
        <v>6</v>
      </c>
      <c r="O9" s="10" t="s">
        <v>7</v>
      </c>
      <c r="P9" s="10" t="s">
        <v>6</v>
      </c>
      <c r="Q9" s="10" t="s">
        <v>7</v>
      </c>
      <c r="R9" s="14" t="s">
        <v>6</v>
      </c>
      <c r="S9" s="14" t="s">
        <v>7</v>
      </c>
      <c r="T9" s="307"/>
    </row>
    <row r="10" spans="1:20" ht="16.5" customHeight="1" thickBot="1" x14ac:dyDescent="0.3">
      <c r="A10" s="307"/>
      <c r="B10" s="342" t="s">
        <v>122</v>
      </c>
      <c r="C10" s="343" t="str">
        <f>+Pkge!AA5</f>
        <v>3.785 L</v>
      </c>
      <c r="D10" s="344">
        <f>+Pkge!L5</f>
        <v>0</v>
      </c>
      <c r="E10" s="345">
        <f>+Pkge!N5</f>
        <v>0</v>
      </c>
      <c r="F10" s="346">
        <f>+Pkge!M5</f>
        <v>0</v>
      </c>
      <c r="G10" s="15" t="s">
        <v>56</v>
      </c>
      <c r="H10" s="16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307"/>
    </row>
    <row r="11" spans="1:20" ht="16.5" customHeight="1" thickBot="1" x14ac:dyDescent="0.3">
      <c r="A11" s="307"/>
      <c r="B11" s="342" t="s">
        <v>17</v>
      </c>
      <c r="C11" s="343" t="str">
        <f>+Pkge!AA8</f>
        <v>8 L</v>
      </c>
      <c r="D11" s="344">
        <f>+Pkge!L10</f>
        <v>0</v>
      </c>
      <c r="E11" s="345">
        <f>+Pkge!N10</f>
        <v>0</v>
      </c>
      <c r="F11" s="346">
        <f>+Pkge!M10</f>
        <v>0</v>
      </c>
      <c r="G11" s="347" t="str">
        <f>+B10</f>
        <v>Admire</v>
      </c>
      <c r="H11" s="493">
        <f>IF($F$10&gt;0, IF(Purchases!$N$22 &gt;0, Purchases!$N$22, 0),0)</f>
        <v>0</v>
      </c>
      <c r="I11" s="494">
        <f>IF(ISNUMBER($F$10), (H11/100)*$F$10, " ")</f>
        <v>0</v>
      </c>
      <c r="J11" s="493">
        <f>IF($F$10&gt;0, IF(H$25 &gt;=300,  IF(Purchases!N$27 &gt;=5,  5, 0),0),0 )</f>
        <v>0</v>
      </c>
      <c r="K11" s="494">
        <f>IF(ISNUMBER($F$10), (J11/100)*$F$10, " ")</f>
        <v>0</v>
      </c>
      <c r="L11" s="493">
        <f>IF($F$10&gt;0,IF(Purchases!C$17&gt;=500, IF(H$25&gt;=300,5,0),0),0)</f>
        <v>0</v>
      </c>
      <c r="M11" s="494">
        <f>IF(ISNUMBER($F$10), (L11/100)*$F$10, " ")</f>
        <v>0</v>
      </c>
      <c r="N11" s="350"/>
      <c r="O11" s="350"/>
      <c r="P11" s="493">
        <f xml:space="preserve"> IF($F$10&gt;0,  IF((Pkge!L$14 + Pkge!L$95) &gt;=500, 5,0),0 )</f>
        <v>0</v>
      </c>
      <c r="Q11" s="494">
        <f>IF(ISNUMBER($F$10), (P11/100)*$F$10, " ")</f>
        <v>0</v>
      </c>
      <c r="R11" s="348">
        <f>+H11+J11+L11+P11</f>
        <v>0</v>
      </c>
      <c r="S11" s="349">
        <f>+I11+K11+M11+Q11</f>
        <v>0</v>
      </c>
      <c r="T11" s="307"/>
    </row>
    <row r="12" spans="1:20" ht="16.5" customHeight="1" thickBot="1" x14ac:dyDescent="0.3">
      <c r="A12" s="307"/>
      <c r="B12" s="342" t="s">
        <v>18</v>
      </c>
      <c r="C12" s="343" t="str">
        <f>+Pkge!AA12</f>
        <v>7.1 L</v>
      </c>
      <c r="D12" s="344">
        <f>+Pkge!L13</f>
        <v>0</v>
      </c>
      <c r="E12" s="345">
        <f>+Pkge!N13</f>
        <v>0</v>
      </c>
      <c r="F12" s="346">
        <f>+Pkge!M13</f>
        <v>0</v>
      </c>
      <c r="G12" s="347" t="str">
        <f>+B50</f>
        <v>Emesto Complete</v>
      </c>
      <c r="H12" s="493">
        <f>IF($F$50&gt;0, IF(Purchases!$N$22 &gt;0, Purchases!$N$22, 0),0)</f>
        <v>0</v>
      </c>
      <c r="I12" s="494">
        <f>IF(ISNUMBER($F$50), (H12/100)*$F$50, " ")</f>
        <v>0</v>
      </c>
      <c r="J12" s="493">
        <f>IF($F$50&gt;0, IF(H$25 &gt;=300,  IF(Purchases!N$27 &gt;=5,  5, 0),0),0 )</f>
        <v>0</v>
      </c>
      <c r="K12" s="494">
        <f>IF(ISNUMBER($F$50), (J12/100)*$F$50, " ")</f>
        <v>0</v>
      </c>
      <c r="L12" s="493">
        <f>IF($F$50&gt;0,IF(Purchases!C17&gt;=500, IF(H$25&gt;=300,5,0),0),0)</f>
        <v>0</v>
      </c>
      <c r="M12" s="494">
        <f>IF(ISNUMBER($F$50), (L12/100)*$F$50, " ")</f>
        <v>0</v>
      </c>
      <c r="N12" s="350"/>
      <c r="O12" s="350"/>
      <c r="P12" s="493">
        <f xml:space="preserve"> IF($F$50&gt;0,  IF((Pkge!L$14 + Pkge!L$95) &gt;=500, 5,0),0 )</f>
        <v>0</v>
      </c>
      <c r="Q12" s="494">
        <f>IF(ISNUMBER($F$50), (P12/100)*$F$50, " ")</f>
        <v>0</v>
      </c>
      <c r="R12" s="348">
        <f t="shared" ref="R12:R13" si="0">+H12+J12+L12+P12</f>
        <v>0</v>
      </c>
      <c r="S12" s="349">
        <f t="shared" ref="S12:S13" si="1">+I12+K12+M12+Q12</f>
        <v>0</v>
      </c>
      <c r="T12" s="307"/>
    </row>
    <row r="13" spans="1:20" ht="16.5" customHeight="1" thickBot="1" x14ac:dyDescent="0.3">
      <c r="A13" s="900"/>
      <c r="B13" s="342" t="s">
        <v>124</v>
      </c>
      <c r="C13" s="343" t="str">
        <f>+Pkge!AA14</f>
        <v>3.85 L</v>
      </c>
      <c r="D13" s="344">
        <f>+Pkge!L14</f>
        <v>0</v>
      </c>
      <c r="E13" s="345">
        <f>+Pkge!N14</f>
        <v>0</v>
      </c>
      <c r="F13" s="346">
        <f>+Pkge!M14</f>
        <v>0</v>
      </c>
      <c r="G13" s="347" t="str">
        <f>+B13</f>
        <v>Emesto Silver</v>
      </c>
      <c r="H13" s="493">
        <f>IF($F$13&gt;0, IF(Purchases!$N$22 &gt;0, Purchases!$N$22, 0),0)</f>
        <v>0</v>
      </c>
      <c r="I13" s="494">
        <f>IF(ISNUMBER($F$13), (H13/100)*$F$13, " ")</f>
        <v>0</v>
      </c>
      <c r="J13" s="493">
        <f>IF($F$13&gt;0,  IF(H$25 &gt;=300,  IF(Purchases!N$27 &gt;=5,  5, 0),0),0 )</f>
        <v>0</v>
      </c>
      <c r="K13" s="494">
        <f>IF(ISNUMBER($F$13), (J13/100)*$F$13, " ")</f>
        <v>0</v>
      </c>
      <c r="L13" s="493">
        <f>IF($F$13&gt;0,IF(Purchases!C17 &gt;=500, IF(H$25&gt;=300,5,0),0),0)</f>
        <v>0</v>
      </c>
      <c r="M13" s="494">
        <f>IF(ISNUMBER($F$13), (L13/100)*$F$13, " ")</f>
        <v>0</v>
      </c>
      <c r="N13" s="350"/>
      <c r="O13" s="350"/>
      <c r="P13" s="493">
        <f xml:space="preserve"> IF($F$13&gt;0,  IF((Pkge!L$14 + Pkge!L$95) &gt;=500, 5,0),0 )</f>
        <v>0</v>
      </c>
      <c r="Q13" s="494">
        <f>IF(ISNUMBER($F$13), (P13/100)*$F$13, " ")</f>
        <v>0</v>
      </c>
      <c r="R13" s="348">
        <f t="shared" si="0"/>
        <v>0</v>
      </c>
      <c r="S13" s="349">
        <f t="shared" si="1"/>
        <v>0</v>
      </c>
      <c r="T13" s="307"/>
    </row>
    <row r="14" spans="1:20" ht="15.75" thickBot="1" x14ac:dyDescent="0.3">
      <c r="A14" s="900"/>
      <c r="B14" s="342" t="s">
        <v>20</v>
      </c>
      <c r="C14" s="343" t="str">
        <f>+Pkge!AA15</f>
        <v>33.75 L</v>
      </c>
      <c r="D14" s="344">
        <f>+Pkge!L15</f>
        <v>0</v>
      </c>
      <c r="E14" s="345">
        <f>+Pkge!N15</f>
        <v>0</v>
      </c>
      <c r="F14" s="346">
        <f>+Pkge!M15</f>
        <v>0</v>
      </c>
      <c r="G14" s="347" t="str">
        <f>+B14</f>
        <v xml:space="preserve">EverGol Energy </v>
      </c>
      <c r="H14" s="493">
        <f>IF($F$14&gt;0, IF(Purchases!$N$22 &gt;0, Purchases!$N$22, 0),0)</f>
        <v>0</v>
      </c>
      <c r="I14" s="494">
        <f>IF(ISNUMBER( $F$14), (H14/100)*$F$14, "")</f>
        <v>0</v>
      </c>
      <c r="J14" s="493">
        <f>IF($F$14&gt;0,  IF(H$25 &gt;=300,  IF(Purchases!N$27 &gt;=5,  5, 0),0),0 )</f>
        <v>0</v>
      </c>
      <c r="K14" s="494">
        <f>IF(ISNUMBER( $F$14), (J14/100)*$F$14, "")</f>
        <v>0</v>
      </c>
      <c r="L14" s="493">
        <f>IF($F$14&gt;0,IF(Purchases!C17&gt;=500, IF(H$25&gt;=300,5,0),0),0)</f>
        <v>0</v>
      </c>
      <c r="M14" s="494">
        <f>IF(ISNUMBER( $F$14), (L14/100)*$F$14, "")</f>
        <v>0</v>
      </c>
      <c r="N14" s="500">
        <f>IF( F$14 &gt;0, IF(Purchases!N$38 = 5,5,0),0)</f>
        <v>0</v>
      </c>
      <c r="O14" s="501">
        <f>IF(ISNUMBER( $F$14), (N14/100)*$F$14, "")</f>
        <v>0</v>
      </c>
      <c r="P14" s="350"/>
      <c r="Q14" s="350"/>
      <c r="R14" s="348">
        <f>+H14+J14+L14+N14</f>
        <v>0</v>
      </c>
      <c r="S14" s="349">
        <f>+I14+K14+M14+O14</f>
        <v>0</v>
      </c>
      <c r="T14" s="307"/>
    </row>
    <row r="15" spans="1:20" ht="15.75" thickBot="1" x14ac:dyDescent="0.3">
      <c r="A15" s="900"/>
      <c r="B15" s="342" t="s">
        <v>21</v>
      </c>
      <c r="C15" s="343" t="str">
        <f>+Pkge!AA16</f>
        <v>8.1 L</v>
      </c>
      <c r="D15" s="344">
        <f>+Pkge!L16</f>
        <v>0</v>
      </c>
      <c r="E15" s="345">
        <f>+Pkge!N16</f>
        <v>0</v>
      </c>
      <c r="F15" s="346">
        <f>+Pkge!M16</f>
        <v>0</v>
      </c>
      <c r="G15" s="347" t="str">
        <f>+B21</f>
        <v>Movento</v>
      </c>
      <c r="H15" s="493">
        <f>IF($F$21&gt;0, IF(Purchases!$N$22 &gt;0,Purchases!$N$22, 0),0)</f>
        <v>0</v>
      </c>
      <c r="I15" s="494">
        <f>IF(ISNUMBER( $F$21), (H15/100)*$F$21, "")</f>
        <v>0</v>
      </c>
      <c r="J15" s="493">
        <f>IF($F$21&gt;0,  IF(H$25 &gt;=300,  IF(Purchases!N$27 &gt;=5,  5, 0),0),0 )</f>
        <v>0</v>
      </c>
      <c r="K15" s="494">
        <f>IF(ISNUMBER( $F$21), (J15/100)*$F$21, "")</f>
        <v>0</v>
      </c>
      <c r="L15" s="493">
        <f>IF($F$21&gt;0,IF(Purchases!C17&gt;=500, IF(H$25&gt;=300,5,0),0),0)</f>
        <v>0</v>
      </c>
      <c r="M15" s="494">
        <f>IF(ISNUMBER( $F$21), (L15/100)*$F$21, "")</f>
        <v>0</v>
      </c>
      <c r="N15" s="502" t="s">
        <v>121</v>
      </c>
      <c r="O15" s="502" t="s">
        <v>121</v>
      </c>
      <c r="P15" s="493">
        <f xml:space="preserve"> IF($F$21&gt;0,  IF((Pkge!L$14 + Pkge!L$95) &gt;=500, 5,0),0 )</f>
        <v>0</v>
      </c>
      <c r="Q15" s="494">
        <f>IF(ISNUMBER($F$21), (P15/100)*$F$21, " ")</f>
        <v>0</v>
      </c>
      <c r="R15" s="348">
        <f>+H15+J15+L15+P15</f>
        <v>0</v>
      </c>
      <c r="S15" s="349">
        <f>+I15+K15+M15+Q15</f>
        <v>0</v>
      </c>
      <c r="T15" s="307"/>
    </row>
    <row r="16" spans="1:20" ht="15.75" thickBot="1" x14ac:dyDescent="0.3">
      <c r="A16" s="900"/>
      <c r="B16" s="342" t="s">
        <v>23</v>
      </c>
      <c r="C16" s="343" t="str">
        <f>+Pkge!AA17</f>
        <v>6.7 L</v>
      </c>
      <c r="D16" s="344">
        <f>+Pkge!L19</f>
        <v>0</v>
      </c>
      <c r="E16" s="345">
        <f>+Pkge!N19</f>
        <v>0</v>
      </c>
      <c r="F16" s="346">
        <f>+Pkge!M19</f>
        <v>0</v>
      </c>
      <c r="G16" s="347" t="str">
        <f>+B29</f>
        <v>Raxil PRO</v>
      </c>
      <c r="H16" s="493">
        <f>IF($F$29&gt;0, IF(Purchases!$N$22 &gt;0,Purchases!$N$22, 0),0)</f>
        <v>0</v>
      </c>
      <c r="I16" s="494">
        <f>IF(ISNUMBER( $F$29), (H16/100)*$F$29, " ")</f>
        <v>0</v>
      </c>
      <c r="J16" s="493">
        <f>IF($F$29&gt;0,  IF(H$25 &gt;=300,  IF(Purchases!N$27 &gt;=5,  5, 0),0),0 )</f>
        <v>0</v>
      </c>
      <c r="K16" s="494">
        <f>IF(ISNUMBER( $F$29), (J16/100)*$F$29, " ")</f>
        <v>0</v>
      </c>
      <c r="L16" s="493">
        <f>IF($F$29&gt;0,IF(Purchases!C17&gt;=500, IF(H$25&gt;=300,5,0),0),0)</f>
        <v>0</v>
      </c>
      <c r="M16" s="494">
        <f>IF(ISNUMBER( $F$29), (L16/100)*$F$29, " ")</f>
        <v>0</v>
      </c>
      <c r="N16" s="500">
        <f>IF( F$29 &gt;0, IF(Purchases!N$38 = 5,5,0),0)</f>
        <v>0</v>
      </c>
      <c r="O16" s="501">
        <f>IF(ISNUMBER( $F$29), (N16/100)*$F$29, " ")</f>
        <v>0</v>
      </c>
      <c r="P16" s="350"/>
      <c r="Q16" s="350"/>
      <c r="R16" s="348">
        <f t="shared" ref="R16:R17" si="2">+H16+J16+L16+P16</f>
        <v>0</v>
      </c>
      <c r="S16" s="349">
        <f>+I16+K16+M16+O16</f>
        <v>0</v>
      </c>
      <c r="T16" s="307"/>
    </row>
    <row r="17" spans="1:20" ht="15.75" thickBot="1" x14ac:dyDescent="0.3">
      <c r="A17" s="900"/>
      <c r="B17" s="342" t="s">
        <v>25</v>
      </c>
      <c r="C17" s="343" t="str">
        <f>+Pkge!AA21</f>
        <v>8.1 L</v>
      </c>
      <c r="D17" s="344">
        <f>+Pkge!L23</f>
        <v>0</v>
      </c>
      <c r="E17" s="345">
        <f>+Pkge!N23</f>
        <v>0</v>
      </c>
      <c r="F17" s="346">
        <f>+Pkge!M23</f>
        <v>0</v>
      </c>
      <c r="G17" s="347" t="str">
        <f>+B30</f>
        <v>Raxil PRO SHIELD/All-In-One</v>
      </c>
      <c r="H17" s="493">
        <f>IF($F$30&gt;0, IF(Purchases!$N$22 &gt;0,Purchases!$N$22, 0),0)</f>
        <v>0</v>
      </c>
      <c r="I17" s="494">
        <f>IF(ISNUMBER( $F$30), (H17/100)*$F$30, " ")</f>
        <v>0</v>
      </c>
      <c r="J17" s="493">
        <f>IF($F$30&gt;0,  IF(H$25 &gt;=300,  IF(Purchases!N$27 &gt;=5,  5, 0),0),0 )</f>
        <v>0</v>
      </c>
      <c r="K17" s="494">
        <f>IF(ISNUMBER( $F$30), (J17/100)*$F$30, " ")</f>
        <v>0</v>
      </c>
      <c r="L17" s="493">
        <f>IF($F$30&gt;0,IF(Purchases!C17&gt;=500, IF(H$25&gt;=300,5,0),0),0)</f>
        <v>0</v>
      </c>
      <c r="M17" s="494">
        <f>IF(ISNUMBER( $F$30), (L17/100)*$F$30, " ")</f>
        <v>0</v>
      </c>
      <c r="N17" s="500">
        <f>IF( F$30 &gt;0, IF(Purchases!N$38 = 5,5,0),0)</f>
        <v>0</v>
      </c>
      <c r="O17" s="501">
        <f>IF(ISNUMBER( $F$30), (N17/100)*$F$30, " ")</f>
        <v>0</v>
      </c>
      <c r="P17" s="350"/>
      <c r="Q17" s="350"/>
      <c r="R17" s="348">
        <f t="shared" si="2"/>
        <v>0</v>
      </c>
      <c r="S17" s="349">
        <f>+I17+K17+M17+O17</f>
        <v>0</v>
      </c>
      <c r="T17" s="307"/>
    </row>
    <row r="18" spans="1:20" ht="15.75" thickBot="1" x14ac:dyDescent="0.3">
      <c r="A18" s="900"/>
      <c r="B18" s="342" t="s">
        <v>266</v>
      </c>
      <c r="C18" s="343" t="str">
        <f>+Pkge!AA32</f>
        <v>3.6 L</v>
      </c>
      <c r="D18" s="344">
        <f>+Pkge!L32</f>
        <v>0</v>
      </c>
      <c r="E18" s="345">
        <f>+Pkge!N32</f>
        <v>0</v>
      </c>
      <c r="F18" s="346">
        <f>+Pkge!M32</f>
        <v>0</v>
      </c>
      <c r="G18" s="347" t="str">
        <f>+B36</f>
        <v>Sivanto Prime</v>
      </c>
      <c r="H18" s="493">
        <f>IF($F$36&gt;0, IF(Purchases!$N$22 &gt;0, Purchases!$N$22, 0),0)</f>
        <v>0</v>
      </c>
      <c r="I18" s="494">
        <f>IF(ISNUMBER($F$36), (H18/100)*$F$36, " ")</f>
        <v>0</v>
      </c>
      <c r="J18" s="493">
        <f>IF($F$36&gt;0,  IF(H$25 &gt;=300,  IF(Purchases!N$27 &gt;=5,  5, 0),0),0 )</f>
        <v>0</v>
      </c>
      <c r="K18" s="494">
        <f>IF(ISNUMBER($F$36), (J18/100)*$F$36, " ")</f>
        <v>0</v>
      </c>
      <c r="L18" s="493">
        <f>IF($F$36&gt;0,IF(Purchases!C17&gt;=500, IF(H$25&gt;=300,5,0),0),0)</f>
        <v>0</v>
      </c>
      <c r="M18" s="494">
        <f>IF(ISNUMBER($F$36), (L18/100)*$F$36, " ")</f>
        <v>0</v>
      </c>
      <c r="N18" s="502"/>
      <c r="O18" s="502"/>
      <c r="P18" s="493">
        <f xml:space="preserve"> IF($F$36&gt;0,  IF((Pkge!L$14 + Pkge!L$95) &gt;=500, 5,0),0 )</f>
        <v>0</v>
      </c>
      <c r="Q18" s="494">
        <f>IF(ISNUMBER($F$36), (P18/100)*$F$36, " ")</f>
        <v>0</v>
      </c>
      <c r="R18" s="348">
        <f>+H18+J18+L18+P18</f>
        <v>0</v>
      </c>
      <c r="S18" s="349">
        <f>+I18+K18+M18+Q18</f>
        <v>0</v>
      </c>
      <c r="T18" s="307"/>
    </row>
    <row r="19" spans="1:20" ht="15.75" thickBot="1" x14ac:dyDescent="0.3">
      <c r="A19" s="900"/>
      <c r="B19" s="342" t="s">
        <v>134</v>
      </c>
      <c r="C19" s="343" t="str">
        <f>+Pkge!AA24</f>
        <v>2 L</v>
      </c>
      <c r="D19" s="344">
        <f>+Pkge!L24</f>
        <v>0</v>
      </c>
      <c r="E19" s="345">
        <f>+Pkge!N24</f>
        <v>0</v>
      </c>
      <c r="F19" s="346">
        <f>+Pkge!M24</f>
        <v>0</v>
      </c>
      <c r="G19" s="347" t="s">
        <v>352</v>
      </c>
      <c r="H19" s="493">
        <f>IF(Pkge!Q$114 &gt;0, IF(Purchases!$N$22 &gt;0, Purchases!$N$22, 0),0)</f>
        <v>0</v>
      </c>
      <c r="I19" s="494">
        <f xml:space="preserve"> IF( $D$37 &lt;&gt;0, IF(ISNUMBER( $F$37), (H19/100)*((Pkge!$Q114/$D37) * $F$37), ""), 0)</f>
        <v>0</v>
      </c>
      <c r="J19" s="493">
        <f>IF(Pkge!Q$114 &gt;0,  IF(H$25 &gt;=300,  IF(Purchases!N$27 &gt;=5,  5, 0),0),0 )</f>
        <v>0</v>
      </c>
      <c r="K19" s="494">
        <f xml:space="preserve"> IF( $D$37 &lt;&gt;0, IF(ISNUMBER( $F$37), (J19/100)*((Pkge!$Q114/$D37) * $F$37), ""), 0)</f>
        <v>0</v>
      </c>
      <c r="L19" s="493">
        <f>IF(Pkge!Q$114 &gt;0,  IF(Purchases!C17 &gt;= 500,  IF(H$25 &gt;=300,5,0),0),0 )</f>
        <v>0</v>
      </c>
      <c r="M19" s="494">
        <f>IF( $D$37 &lt;&gt;0, IF(ISNUMBER( $F$37), (L19/100)*((Pkge!$Q114/$D37) * $F$37), ""), 0)</f>
        <v>0</v>
      </c>
      <c r="N19" s="500">
        <f>IF( Pkge!Q$114 &gt;0, IF(Purchases!N$38 = 5,5,0),0)</f>
        <v>0</v>
      </c>
      <c r="O19" s="503">
        <f>IF( $D$37 &lt;&gt;0, IF(ISNUMBER( $F$37), (N19/100)*((Pkge!$Q114/$D37) * $F$37), ""), 0)</f>
        <v>0</v>
      </c>
      <c r="P19" s="350"/>
      <c r="Q19" s="350"/>
      <c r="R19" s="348">
        <f>+H19+J19+L19+N19</f>
        <v>0</v>
      </c>
      <c r="S19" s="349">
        <f>+I19+K19+M19+O19</f>
        <v>0</v>
      </c>
      <c r="T19" s="307"/>
    </row>
    <row r="20" spans="1:20" ht="15.75" thickBot="1" x14ac:dyDescent="0.3">
      <c r="A20" s="900"/>
      <c r="B20" s="342" t="s">
        <v>320</v>
      </c>
      <c r="C20" s="343" t="str">
        <f>+Pkge!AA89</f>
        <v>6.8 L</v>
      </c>
      <c r="D20" s="344">
        <f>+Pkge!L90</f>
        <v>0</v>
      </c>
      <c r="E20" s="345">
        <f>+Pkge!N90</f>
        <v>0</v>
      </c>
      <c r="F20" s="346">
        <f>+Pkge!M90</f>
        <v>0</v>
      </c>
      <c r="G20" s="347" t="s">
        <v>272</v>
      </c>
      <c r="H20" s="493">
        <f>IF(Pkge!S$115 &gt;0, IF(Purchases!$N$22 &gt;0, Purchases!$N$22, 0),0)</f>
        <v>0</v>
      </c>
      <c r="I20" s="494">
        <f>IF( $D$37 &lt;&gt;0, IF(ISNUMBER( $F$37), (H20/100)*((Pkge!$S115/$D37) * $F$37), ""), 0)</f>
        <v>0</v>
      </c>
      <c r="J20" s="493">
        <f>IF(Pkge!S$115 &gt;0,  IF(H$25 &gt;=300,  IF(Purchases!N$27 &gt;=5,  5, 0),0),0 )</f>
        <v>0</v>
      </c>
      <c r="K20" s="494">
        <f>IF( $D$37 &lt;&gt;0, IF(ISNUMBER( $F$37), (J20/100)*((Pkge!$S115/$D37) * $F$37), ""), 0)</f>
        <v>0</v>
      </c>
      <c r="L20" s="493">
        <f>IF(Pkge!S$115 &gt;0,  IF(Purchases!C17&gt;= 500,  IF(H$25 &gt;=300,5,0),0),0 )</f>
        <v>0</v>
      </c>
      <c r="M20" s="494">
        <f xml:space="preserve"> IF( $D$37 &lt;&gt;0, IF(ISNUMBER( $F$37), (L20/100)*((Pkge!$S115/$D$37) * $F$37), ""), 0)</f>
        <v>0</v>
      </c>
      <c r="N20" s="500">
        <f>IF( Pkge!S$115 &gt;0, IF(Purchases!N$38 = 5,5,0),0)</f>
        <v>0</v>
      </c>
      <c r="O20" s="503">
        <f xml:space="preserve"> IF( $D$37 &lt;&gt;0, IF(ISNUMBER( $F$37), (N20/100)*((Pkge!$S115/$D$37) * $F$37), ""), 0)</f>
        <v>0</v>
      </c>
      <c r="P20" s="350"/>
      <c r="Q20" s="350"/>
      <c r="R20" s="348">
        <f t="shared" ref="R20:R23" si="3">+H20+J20+L20+N20</f>
        <v>0</v>
      </c>
      <c r="S20" s="349">
        <f>+I20+K20+M20+O20</f>
        <v>0</v>
      </c>
      <c r="T20" s="307"/>
    </row>
    <row r="21" spans="1:20" ht="15.75" thickBot="1" x14ac:dyDescent="0.3">
      <c r="A21" s="900"/>
      <c r="B21" s="342" t="s">
        <v>126</v>
      </c>
      <c r="C21" s="343" t="str">
        <f>+Pkge!AA28</f>
        <v>2 L</v>
      </c>
      <c r="D21" s="344">
        <f>+Pkge!L28</f>
        <v>0</v>
      </c>
      <c r="E21" s="345">
        <f>+Pkge!N28</f>
        <v>0</v>
      </c>
      <c r="F21" s="346">
        <f>+Pkge!M28</f>
        <v>0</v>
      </c>
      <c r="G21" s="347" t="s">
        <v>330</v>
      </c>
      <c r="H21" s="493">
        <f>IF(Pkge!U$116 &gt;0, IF(Purchases!$N$22 &gt;0, Purchases!$N$22, 0),0)</f>
        <v>0</v>
      </c>
      <c r="I21" s="494">
        <f>IF( $D$37 &lt;&gt;0, IF(ISNUMBER( $F$37), (H21/100)*((Pkge!$U116/$D37) * $F$37), ""), 0)</f>
        <v>0</v>
      </c>
      <c r="J21" s="493">
        <f>IF(Pkge!U$116 &gt;0,  IF(H$25 &gt;=300,  IF(Purchases!N$27 &gt;=5,  5, 0),0),0 )</f>
        <v>0</v>
      </c>
      <c r="K21" s="494">
        <f>IF( $D$37 &lt;&gt;0, IF(ISNUMBER( $F$37), (J21/100)*((Pkge!$U116/$D37) * $F$37), ""), 0)</f>
        <v>0</v>
      </c>
      <c r="L21" s="493">
        <f>IF(Pkge!U$116 &gt;0,  IF(Purchases!C17 &gt;= 500,  IF(H$25 &gt;=300,5,0),0),0 )</f>
        <v>0</v>
      </c>
      <c r="M21" s="494">
        <f xml:space="preserve"> IF( $D$37 &lt;&gt;0, IF(ISNUMBER( $F$37), (L21/100)*((Pkge!$U116/$D$37) * $F$37), ""), 0)</f>
        <v>0</v>
      </c>
      <c r="N21" s="500">
        <f>IF( Pkge!U$116 &gt;0, IF(Purchases!N$38 = 5,5,0),0)</f>
        <v>0</v>
      </c>
      <c r="O21" s="503">
        <f xml:space="preserve"> IF( $D$37 &lt;&gt;0, IF(ISNUMBER( $F$37), (N21/100)*((Pkge!$U116/$D$37) * $F$37), ""), 0)</f>
        <v>0</v>
      </c>
      <c r="P21" s="350"/>
      <c r="Q21" s="350"/>
      <c r="R21" s="348">
        <f t="shared" si="3"/>
        <v>0</v>
      </c>
      <c r="S21" s="349">
        <f>+I21+K21+M21+O21</f>
        <v>0</v>
      </c>
      <c r="T21" s="307"/>
    </row>
    <row r="22" spans="1:20" ht="15.75" thickBot="1" x14ac:dyDescent="0.3">
      <c r="A22" s="900"/>
      <c r="B22" s="342" t="s">
        <v>183</v>
      </c>
      <c r="C22" s="343" t="str">
        <f>+Pkge!AA33</f>
        <v>8 L</v>
      </c>
      <c r="D22" s="344">
        <f>+Pkge!L34</f>
        <v>0</v>
      </c>
      <c r="E22" s="345">
        <f>+Pkge!N34</f>
        <v>0</v>
      </c>
      <c r="F22" s="346">
        <f>+Pkge!M34</f>
        <v>0</v>
      </c>
      <c r="G22" s="347" t="str">
        <f>+B40</f>
        <v>Trilex EverGol</v>
      </c>
      <c r="H22" s="493">
        <f>IF($F$40&gt;0, IF(Purchases!$N$22 &gt;0, Purchases!$N$22, 0),0)</f>
        <v>0</v>
      </c>
      <c r="I22" s="494">
        <f>IF(ISNUMBER( $F$40), (H22/100)*$F$40, " ")</f>
        <v>0</v>
      </c>
      <c r="J22" s="493">
        <f>IF($F$40&gt;0,  IF(H$25 &gt;=300,  IF(Purchases!N$27 &gt;=5,  5, 0),0),0 )</f>
        <v>0</v>
      </c>
      <c r="K22" s="494">
        <f>IF(ISNUMBER( $F$40), (J22/100)*$F$40, " ")</f>
        <v>0</v>
      </c>
      <c r="L22" s="493">
        <f>IF($F$40&gt;0,IF(Purchases!C17&gt;=500, IF(H$25&gt;=300,5,0),0),0)</f>
        <v>0</v>
      </c>
      <c r="M22" s="494">
        <f>IF(ISNUMBER( $F$40), (L22/100)*$F$40, " ")</f>
        <v>0</v>
      </c>
      <c r="N22" s="500">
        <f>IF( F$40 &gt;0, IF(Purchases!N$38 = 5,5,0),0)</f>
        <v>0</v>
      </c>
      <c r="O22" s="503">
        <f>IF(ISNUMBER( $F$40), (N22/100)*$F$40, " ")</f>
        <v>0</v>
      </c>
      <c r="P22" s="350"/>
      <c r="Q22" s="350"/>
      <c r="R22" s="348">
        <f t="shared" si="3"/>
        <v>0</v>
      </c>
      <c r="S22" s="349">
        <f>+I22+K22+M22+O22</f>
        <v>0</v>
      </c>
      <c r="T22" s="307"/>
    </row>
    <row r="23" spans="1:20" ht="15.75" thickBot="1" x14ac:dyDescent="0.3">
      <c r="A23" s="900"/>
      <c r="B23" s="342" t="s">
        <v>26</v>
      </c>
      <c r="C23" s="343" t="str">
        <f>+Pkge!AA30</f>
        <v>463 G</v>
      </c>
      <c r="D23" s="344">
        <f>+Pkge!L31</f>
        <v>0</v>
      </c>
      <c r="E23" s="345">
        <f>+Pkge!N31</f>
        <v>0</v>
      </c>
      <c r="F23" s="346">
        <f>+Pkge!M31</f>
        <v>0</v>
      </c>
      <c r="G23" s="347" t="str">
        <f>+B41</f>
        <v>Trilex EverGol SHIELD</v>
      </c>
      <c r="H23" s="493">
        <f>IF($F$41&gt;0, IF(Purchases!$N$22 &gt;0, Purchases!$N$22, 0),0)</f>
        <v>0</v>
      </c>
      <c r="I23" s="494">
        <f>IF(ISNUMBER($F$41), (H23/100)*$F$41, " ")</f>
        <v>0</v>
      </c>
      <c r="J23" s="493">
        <f>IF($F$41&gt;0,  IF(H$25 &gt;=300,  IF(Purchases!N$27 &gt;=5,  5, 0),0),0 )</f>
        <v>0</v>
      </c>
      <c r="K23" s="494">
        <f>IF(ISNUMBER($F$41), (J23/100)*$F$41, " ")</f>
        <v>0</v>
      </c>
      <c r="L23" s="493">
        <f>IF($F$41&gt;0,IF(Purchases!C17&gt;=500, IF(H$25&gt;=300,5,0),0),0)</f>
        <v>0</v>
      </c>
      <c r="M23" s="494">
        <f>IF(ISNUMBER($F$41), (L23/100)*$F$41, " ")</f>
        <v>0</v>
      </c>
      <c r="N23" s="500">
        <f>IF( F$41 &gt;0, IF(Purchases!N$38 = 5,5,0),0)</f>
        <v>0</v>
      </c>
      <c r="O23" s="503">
        <f>IF(ISNUMBER( $F$41), (N23/100)*$F$41, " ")</f>
        <v>0</v>
      </c>
      <c r="P23" s="350"/>
      <c r="Q23" s="350"/>
      <c r="R23" s="348">
        <f t="shared" si="3"/>
        <v>0</v>
      </c>
      <c r="S23" s="349">
        <f>+I23+K23+M23+O23</f>
        <v>0</v>
      </c>
      <c r="T23" s="307"/>
    </row>
    <row r="24" spans="1:20" ht="15.75" thickBot="1" x14ac:dyDescent="0.3">
      <c r="A24" s="900"/>
      <c r="B24" s="342" t="s">
        <v>28</v>
      </c>
      <c r="C24" s="343" t="str">
        <f>+Pkge!AA35</f>
        <v>5.1 L</v>
      </c>
      <c r="D24" s="344">
        <f>+Pkge!L35</f>
        <v>0</v>
      </c>
      <c r="E24" s="345">
        <f>+Pkge!N35</f>
        <v>0</v>
      </c>
      <c r="F24" s="346">
        <f>+Pkge!M35</f>
        <v>0</v>
      </c>
      <c r="G24" s="347" t="str">
        <f>+B47</f>
        <v>vayego</v>
      </c>
      <c r="H24" s="493">
        <f>IF($F$47&gt;0, IF(Purchases!$N$22 &gt;0, Purchases!$N$22, 0),0)</f>
        <v>0</v>
      </c>
      <c r="I24" s="494">
        <f>IF(ISNUMBER($F$47), (H24/100)*$F$47, " ")</f>
        <v>0</v>
      </c>
      <c r="J24" s="493">
        <f>IF($F$47&gt;0,  IF(H$25 &gt;=300,  IF(Purchases!N$27 &gt;=5,  5, 0),0),0 )</f>
        <v>0</v>
      </c>
      <c r="K24" s="497">
        <f>IF(ISNUMBER($F$47), (J24/100)*$F$47, " ")</f>
        <v>0</v>
      </c>
      <c r="L24" s="493">
        <f>IF($F$47&gt;0,IF(Purchases!C17&gt;=500, IF(H$25&gt;=300,5,0),0),0)</f>
        <v>0</v>
      </c>
      <c r="M24" s="494">
        <f>IF(ISNUMBER($F$47), (L24/100)*$F$47, " ")</f>
        <v>0</v>
      </c>
      <c r="N24" s="351"/>
      <c r="O24" s="351"/>
      <c r="P24" s="493">
        <f xml:space="preserve"> IF($F$47&gt;0,  IF((Pkge!L$14 + Pkge!L$95) &gt;=500, 5,0),0 )</f>
        <v>0</v>
      </c>
      <c r="Q24" s="494">
        <f>IF(ISNUMBER($F$47), (P24/100)*$F$47, " ")</f>
        <v>0</v>
      </c>
      <c r="R24" s="348">
        <f>+H24+J24+L24+P24</f>
        <v>0</v>
      </c>
      <c r="S24" s="349">
        <f>+I24+K24+M24+Q24</f>
        <v>0</v>
      </c>
      <c r="T24" s="307"/>
    </row>
    <row r="25" spans="1:20" ht="15.75" thickBot="1" x14ac:dyDescent="0.3">
      <c r="A25" s="900"/>
      <c r="B25" s="342" t="s">
        <v>349</v>
      </c>
      <c r="C25" s="343" t="s">
        <v>234</v>
      </c>
      <c r="D25" s="344">
        <f>+Pkge!L36</f>
        <v>0</v>
      </c>
      <c r="E25" s="345">
        <f>+Pkge!N36</f>
        <v>0</v>
      </c>
      <c r="F25" s="346">
        <f>+Pkge!M36</f>
        <v>0</v>
      </c>
      <c r="G25" s="126" t="s">
        <v>47</v>
      </c>
      <c r="H25" s="904">
        <f>+Purchases!M$22</f>
        <v>0</v>
      </c>
      <c r="I25" s="908"/>
      <c r="J25" s="139"/>
      <c r="K25" s="140" t="s">
        <v>48</v>
      </c>
      <c r="L25" s="140"/>
      <c r="M25" s="140" t="str">
        <f>IF(H25 &gt;=300, "Yes", "No")</f>
        <v>No</v>
      </c>
      <c r="N25" s="141"/>
      <c r="O25" s="141"/>
      <c r="P25" s="141"/>
      <c r="Q25" s="141"/>
      <c r="R25" s="141"/>
      <c r="S25" s="142"/>
      <c r="T25" s="307"/>
    </row>
    <row r="26" spans="1:20" ht="15.75" thickBot="1" x14ac:dyDescent="0.3">
      <c r="A26" s="900"/>
      <c r="B26" s="342" t="s">
        <v>351</v>
      </c>
      <c r="C26" s="343" t="str">
        <f>+Pkge!AA37</f>
        <v>6.07 L</v>
      </c>
      <c r="D26" s="344">
        <f>+Pkge!L38</f>
        <v>0</v>
      </c>
      <c r="E26" s="345">
        <f>+Pkge!N38</f>
        <v>0</v>
      </c>
      <c r="F26" s="346">
        <f>+Pkge!M38</f>
        <v>0</v>
      </c>
      <c r="G26" s="127" t="s">
        <v>54</v>
      </c>
      <c r="H26" s="13"/>
      <c r="I26" s="128"/>
      <c r="J26" s="489"/>
      <c r="K26" s="128"/>
      <c r="L26" s="8"/>
      <c r="M26" s="128"/>
      <c r="N26" s="8"/>
      <c r="O26" s="128"/>
      <c r="P26" s="128"/>
      <c r="Q26" s="128"/>
      <c r="R26" s="8"/>
      <c r="S26" s="129"/>
      <c r="T26" s="307"/>
    </row>
    <row r="27" spans="1:20" ht="15.75" thickBot="1" x14ac:dyDescent="0.3">
      <c r="A27" s="900"/>
      <c r="B27" s="342" t="s">
        <v>30</v>
      </c>
      <c r="C27" s="343" t="str">
        <f>+Pkge!AA39</f>
        <v>6.5 L</v>
      </c>
      <c r="D27" s="344">
        <f>+Pkge!L40</f>
        <v>0</v>
      </c>
      <c r="E27" s="345">
        <f>+Pkge!N40</f>
        <v>0</v>
      </c>
      <c r="F27" s="346">
        <f>+Pkge!M40</f>
        <v>0</v>
      </c>
      <c r="G27" s="347" t="str">
        <f>+B11</f>
        <v>Buctril M</v>
      </c>
      <c r="H27" s="350"/>
      <c r="I27" s="350"/>
      <c r="J27" s="350"/>
      <c r="K27" s="350"/>
      <c r="L27" s="350"/>
      <c r="M27" s="350"/>
      <c r="N27" s="504">
        <f>IF( F$11 &gt;0, IF(Purchases!N$36 = 5,5,0),0)</f>
        <v>0</v>
      </c>
      <c r="O27" s="492">
        <f>+(N27/100) *F$11</f>
        <v>0</v>
      </c>
      <c r="P27" s="350"/>
      <c r="Q27" s="350"/>
      <c r="R27" s="348">
        <f>N27</f>
        <v>0</v>
      </c>
      <c r="S27" s="352">
        <f>O27</f>
        <v>0</v>
      </c>
      <c r="T27" s="307"/>
    </row>
    <row r="28" spans="1:20" ht="15.75" thickBot="1" x14ac:dyDescent="0.3">
      <c r="A28" s="900"/>
      <c r="B28" s="342" t="s">
        <v>32</v>
      </c>
      <c r="C28" s="343" t="str">
        <f>+Pkge!AA41</f>
        <v>8.25 L</v>
      </c>
      <c r="D28" s="344">
        <f>+Pkge!L43</f>
        <v>0</v>
      </c>
      <c r="E28" s="345">
        <f>+Pkge!N43</f>
        <v>0</v>
      </c>
      <c r="F28" s="346">
        <f>+Pkge!M43</f>
        <v>0</v>
      </c>
      <c r="G28" s="347" t="str">
        <f>+B20</f>
        <v>Cirray</v>
      </c>
      <c r="H28" s="493">
        <f>IF($F$20&gt;0, IF(Purchases!$N$23 &gt;0, Purchases!$N$23, 0),0)</f>
        <v>0</v>
      </c>
      <c r="I28" s="492">
        <f>IF(ISNUMBER( $F$20), (H28/100)*$F$20, " ")</f>
        <v>0</v>
      </c>
      <c r="J28" s="493">
        <f>IF($F$20&gt;0,  IF(H$41 &gt;=300,  IF(Purchases!N$27 &gt;=5,  5, 0),0),0 )</f>
        <v>0</v>
      </c>
      <c r="K28" s="492">
        <f>IF(ISNUMBER( $F$20), (J28/100)*$F$20, " ")</f>
        <v>0</v>
      </c>
      <c r="L28" s="493">
        <f>IF($F$20&gt;0,IF(Purchases!C$17&gt;=500, IF(H$41&gt;=300,5,0),0),0)</f>
        <v>0</v>
      </c>
      <c r="M28" s="494">
        <f>IF(ISNUMBER( $F$20), (L28/100)*$F$20, " ")</f>
        <v>0</v>
      </c>
      <c r="N28" s="504">
        <f>IF( F$20 &gt;0, IF(Purchases!N$36 = 5,5,0),0)</f>
        <v>0</v>
      </c>
      <c r="O28" s="492">
        <f>+(N28/100) *F$20</f>
        <v>0</v>
      </c>
      <c r="P28" s="350"/>
      <c r="Q28" s="350"/>
      <c r="R28" s="348">
        <f t="shared" ref="R28:R40" si="4">+H28+J28+N28+L28</f>
        <v>0</v>
      </c>
      <c r="S28" s="352">
        <f t="shared" ref="S28:S40" si="5">+I28+K28+M28+O28</f>
        <v>0</v>
      </c>
      <c r="T28" s="307"/>
    </row>
    <row r="29" spans="1:20" ht="15.75" thickBot="1" x14ac:dyDescent="0.3">
      <c r="A29" s="900"/>
      <c r="B29" s="342" t="s">
        <v>353</v>
      </c>
      <c r="C29" s="343" t="str">
        <f>+Pkge!AA44</f>
        <v>10 L</v>
      </c>
      <c r="D29" s="344">
        <f>+Pkge!L47</f>
        <v>0</v>
      </c>
      <c r="E29" s="345">
        <f>+Pkge!N47</f>
        <v>0</v>
      </c>
      <c r="F29" s="346">
        <f>+Pkge!M47</f>
        <v>0</v>
      </c>
      <c r="G29" s="347" t="str">
        <f>+B53</f>
        <v>Huskie Pre</v>
      </c>
      <c r="H29" s="493">
        <f>IF($F$53&gt;0, IF(Purchases!$N$23 &gt;0, Purchases!$N$23, 0),0)</f>
        <v>0</v>
      </c>
      <c r="I29" s="492">
        <f>IF(ISNUMBER( $F$53), (H29/100)*$F$53, " ")</f>
        <v>0</v>
      </c>
      <c r="J29" s="493">
        <f>IF($F$53&gt;0,  IF(H$41 &gt;=300,  IF(Purchases!N$27 &gt;=5,  5, 0),0),0 )</f>
        <v>0</v>
      </c>
      <c r="K29" s="492">
        <f>IF(ISNUMBER( $F$53), (J29/100)*$F$53, " ")</f>
        <v>0</v>
      </c>
      <c r="L29" s="493">
        <f>IF($F$53,IF(Purchases!C$17&gt;=500, IF(H$41&gt;=300,5,0),0),0)</f>
        <v>0</v>
      </c>
      <c r="M29" s="494">
        <f>IF(ISNUMBER( $F$53), (L29/100)*$F$53, " ")</f>
        <v>0</v>
      </c>
      <c r="N29" s="504">
        <f>IF( F$53 &gt;0, IF(Purchases!N$36 = 5,5,0),0)</f>
        <v>0</v>
      </c>
      <c r="O29" s="492">
        <f>+(N29/100) *F$53</f>
        <v>0</v>
      </c>
      <c r="P29" s="350"/>
      <c r="Q29" s="350"/>
      <c r="R29" s="348">
        <f t="shared" si="4"/>
        <v>0</v>
      </c>
      <c r="S29" s="352">
        <f t="shared" si="5"/>
        <v>0</v>
      </c>
      <c r="T29" s="307"/>
    </row>
    <row r="30" spans="1:20" ht="15.75" thickBot="1" x14ac:dyDescent="0.3">
      <c r="A30" s="900"/>
      <c r="B30" s="342" t="s">
        <v>467</v>
      </c>
      <c r="C30" s="343" t="str">
        <f>+Pkge!AA48 &amp; "/10L"</f>
        <v>(10L + 1.54L)/10L</v>
      </c>
      <c r="D30" s="344">
        <f>+Pkge!L92</f>
        <v>0</v>
      </c>
      <c r="E30" s="345">
        <f>+Pkge!N92</f>
        <v>0</v>
      </c>
      <c r="F30" s="346">
        <f>+Pkge!M92</f>
        <v>0</v>
      </c>
      <c r="G30" s="347" t="str">
        <f>+B16</f>
        <v>Infinity</v>
      </c>
      <c r="H30" s="493">
        <f>IF($F$16&gt;0, IF(Purchases!$N$23 &gt;0,Purchases!$N$23, 0),0)</f>
        <v>0</v>
      </c>
      <c r="I30" s="492">
        <f>IF(ISNUMBER( $F$16), (H30/100)*$F$16, " ")</f>
        <v>0</v>
      </c>
      <c r="J30" s="493">
        <f>IF($F$16&gt;0,  IF(H$41 &gt;=300,  IF(Purchases!N$27 &gt;=5,  5, 0),0),0 )</f>
        <v>0</v>
      </c>
      <c r="K30" s="492">
        <f>IF(ISNUMBER( $F$16), (J30/100)*$F$16, " ")</f>
        <v>0</v>
      </c>
      <c r="L30" s="493">
        <f>IF($F16&gt;0,IF(Purchases!C17&gt;=500, IF(H$41&gt;=300,5,0),0),0)</f>
        <v>0</v>
      </c>
      <c r="M30" s="494">
        <f>IF(ISNUMBER( $F$16), (L30/100)*$F$16, " ")</f>
        <v>0</v>
      </c>
      <c r="N30" s="504">
        <f>IF( F$16 &gt;0, IF(Purchases!N$36 = 5,5,0),0)</f>
        <v>0</v>
      </c>
      <c r="O30" s="492">
        <f>+(N30/100) *F$16</f>
        <v>0</v>
      </c>
      <c r="P30" s="350"/>
      <c r="Q30" s="350"/>
      <c r="R30" s="348">
        <f t="shared" si="4"/>
        <v>0</v>
      </c>
      <c r="S30" s="352">
        <f t="shared" si="5"/>
        <v>0</v>
      </c>
      <c r="T30" s="307"/>
    </row>
    <row r="31" spans="1:20" ht="15.75" thickBot="1" x14ac:dyDescent="0.3">
      <c r="A31" s="900"/>
      <c r="B31" s="342" t="s">
        <v>390</v>
      </c>
      <c r="C31" s="343" t="str">
        <f>+Pkge!AA50</f>
        <v>10 L</v>
      </c>
      <c r="D31" s="344">
        <f>+Pkge!L53</f>
        <v>0</v>
      </c>
      <c r="E31" s="345">
        <f>+Pkge!N53</f>
        <v>0</v>
      </c>
      <c r="F31" s="346">
        <f>+Pkge!M53</f>
        <v>0</v>
      </c>
      <c r="G31" s="347" t="str">
        <f>+B17</f>
        <v xml:space="preserve">Infinity FX </v>
      </c>
      <c r="H31" s="493">
        <f>IF($F$17&gt;0, IF(Purchases!$N$23 &gt;0, Purchases!$N$23, 0),0)</f>
        <v>0</v>
      </c>
      <c r="I31" s="492">
        <f>IF(ISNUMBER( $F$17), (H31/100)*$F$17, " ")</f>
        <v>0</v>
      </c>
      <c r="J31" s="493">
        <f>IF($F$17&gt;0,  IF(H$41 &gt;=300,  IF(Purchases!N$27 &gt;=5,  5, 0),0),0 )</f>
        <v>0</v>
      </c>
      <c r="K31" s="492">
        <f>IF(ISNUMBER( $F$17), (J31/100)*$F$17, " ")</f>
        <v>0</v>
      </c>
      <c r="L31" s="493">
        <f>IF($F$17&gt;0,IF(Purchases!C17&gt;=500, IF(H$41&gt;=300,5,0),0),0)</f>
        <v>0</v>
      </c>
      <c r="M31" s="494">
        <f>IF(ISNUMBER( $F$17), (L31/100)*$F$17, " ")</f>
        <v>0</v>
      </c>
      <c r="N31" s="504">
        <f>IF( F$17 &gt;0, IF(Purchases!N$36 = 5,5,0),0)</f>
        <v>0</v>
      </c>
      <c r="O31" s="492">
        <f>+(N31/100) *F$17</f>
        <v>0</v>
      </c>
      <c r="P31" s="350"/>
      <c r="Q31" s="350"/>
      <c r="R31" s="348">
        <f t="shared" si="4"/>
        <v>0</v>
      </c>
      <c r="S31" s="352">
        <f t="shared" si="5"/>
        <v>0</v>
      </c>
      <c r="T31" s="307"/>
    </row>
    <row r="32" spans="1:20" ht="15.75" thickBot="1" x14ac:dyDescent="0.3">
      <c r="A32" s="900"/>
      <c r="B32" s="342" t="s">
        <v>240</v>
      </c>
      <c r="C32" s="343" t="str">
        <f>+Pkge!AA54</f>
        <v>10 L</v>
      </c>
      <c r="D32" s="344">
        <f>+Pkge!L57</f>
        <v>0</v>
      </c>
      <c r="E32" s="345">
        <f>+Pkge!N57</f>
        <v>0</v>
      </c>
      <c r="F32" s="346">
        <f>+Pkge!M57</f>
        <v>0</v>
      </c>
      <c r="G32" s="347" t="str">
        <f>+B18</f>
        <v>Laudis</v>
      </c>
      <c r="H32" s="493">
        <f>IF($F$18&gt;0, IF(Purchases!$N$23 &gt;0, Purchases!$N$23, 0),0)</f>
        <v>0</v>
      </c>
      <c r="I32" s="492">
        <f>IF(ISNUMBER( $F$18), (H32/100)*$F$18, " ")</f>
        <v>0</v>
      </c>
      <c r="J32" s="493">
        <f>IF($F$18&gt;0,  IF(H$41 &gt;=300,  IF(Purchases!N$27 &gt;=5,  5, 0),0),0 )</f>
        <v>0</v>
      </c>
      <c r="K32" s="492">
        <f>IF(ISNUMBER( $F$18), (J32/100)*$F$18, " ")</f>
        <v>0</v>
      </c>
      <c r="L32" s="493">
        <f>IF($F$18&gt;0,IF(Purchases!C17&gt;=500, IF(H$41&gt;=300,5,0),0),0)</f>
        <v>0</v>
      </c>
      <c r="M32" s="494">
        <f>IF(ISNUMBER( $F$18), (L32/100)*$F$18, " ")</f>
        <v>0</v>
      </c>
      <c r="N32" s="504">
        <f>IF( F$18 &gt;0, IF(Purchases!N$36 = 5,5,0),0)</f>
        <v>0</v>
      </c>
      <c r="O32" s="492">
        <f>+(N32/100) *F$18</f>
        <v>0</v>
      </c>
      <c r="P32" s="350"/>
      <c r="Q32" s="350"/>
      <c r="R32" s="348">
        <f t="shared" si="4"/>
        <v>0</v>
      </c>
      <c r="S32" s="352">
        <f t="shared" si="5"/>
        <v>0</v>
      </c>
      <c r="T32" s="307"/>
    </row>
    <row r="33" spans="1:20" ht="15.75" thickBot="1" x14ac:dyDescent="0.3">
      <c r="A33" s="900"/>
      <c r="B33" s="342" t="s">
        <v>129</v>
      </c>
      <c r="C33" s="343" t="str">
        <f>+Pkge!AA60</f>
        <v>2 L</v>
      </c>
      <c r="D33" s="344">
        <f>+Pkge!L61</f>
        <v>0</v>
      </c>
      <c r="E33" s="345">
        <f>+Pkge!N61</f>
        <v>0</v>
      </c>
      <c r="F33" s="346">
        <f>+Pkge!M61</f>
        <v>0</v>
      </c>
      <c r="G33" s="347" t="str">
        <f>+B23</f>
        <v>Olympus</v>
      </c>
      <c r="H33" s="493">
        <f>IF($F$23&gt;0, IF(Purchases!$N$23 &gt;0, Purchases!$N$23, 0),0)</f>
        <v>0</v>
      </c>
      <c r="I33" s="492">
        <f>IF(ISNUMBER( $F$23), (H33/100)*$F$23, " ")</f>
        <v>0</v>
      </c>
      <c r="J33" s="493">
        <f>IF($F$23&gt;0,  IF(H$41 &gt;=300,  IF(Purchases!N$27 &gt;=5,  5, 0),0),0 )</f>
        <v>0</v>
      </c>
      <c r="K33" s="492">
        <f>IF(ISNUMBER( $F$23), (J33/100)*$F$23, " ")</f>
        <v>0</v>
      </c>
      <c r="L33" s="493">
        <f>IF($F$23&gt;0,IF(Purchases!C17&gt;=500, IF(H$41&gt;=300,5,0),0),0)</f>
        <v>0</v>
      </c>
      <c r="M33" s="494">
        <f>IF(ISNUMBER( $F$23), (L33/100)*$F$23, " ")</f>
        <v>0</v>
      </c>
      <c r="N33" s="504">
        <f>IF( F$23 &gt;0, IF(Purchases!N$36 = 5,5,0),0)</f>
        <v>0</v>
      </c>
      <c r="O33" s="492">
        <f>+(N33/100) *F$23</f>
        <v>0</v>
      </c>
      <c r="P33" s="350"/>
      <c r="Q33" s="350"/>
      <c r="R33" s="348">
        <f t="shared" si="4"/>
        <v>0</v>
      </c>
      <c r="S33" s="352">
        <f t="shared" si="5"/>
        <v>0</v>
      </c>
      <c r="T33" s="307"/>
    </row>
    <row r="34" spans="1:20" ht="15.75" thickBot="1" x14ac:dyDescent="0.3">
      <c r="A34" s="900"/>
      <c r="B34" s="342" t="s">
        <v>348</v>
      </c>
      <c r="C34" s="343" t="str">
        <f>+Pkge!AA59</f>
        <v>9.46 L</v>
      </c>
      <c r="D34" s="344">
        <f>+Pkge!L59</f>
        <v>0</v>
      </c>
      <c r="E34" s="345">
        <f>+Pkge!N59</f>
        <v>0</v>
      </c>
      <c r="F34" s="346">
        <f>+Pkge!M59</f>
        <v>0</v>
      </c>
      <c r="G34" s="347" t="str">
        <f>+B22</f>
        <v>Pardner</v>
      </c>
      <c r="H34" s="348"/>
      <c r="I34" s="352"/>
      <c r="J34" s="348"/>
      <c r="K34" s="352"/>
      <c r="L34" s="348"/>
      <c r="M34" s="349"/>
      <c r="N34" s="351"/>
      <c r="O34" s="351"/>
      <c r="P34" s="350"/>
      <c r="Q34" s="350"/>
      <c r="R34" s="348"/>
      <c r="S34" s="352"/>
      <c r="T34" s="307"/>
    </row>
    <row r="35" spans="1:20" ht="15.75" thickBot="1" x14ac:dyDescent="0.3">
      <c r="A35" s="900"/>
      <c r="B35" s="342" t="s">
        <v>184</v>
      </c>
      <c r="C35" s="343" t="str">
        <f>+Pkge!AA63</f>
        <v>2.5 KG</v>
      </c>
      <c r="D35" s="344">
        <f>+Pkge!L63</f>
        <v>0</v>
      </c>
      <c r="E35" s="345">
        <f>+Pkge!N63</f>
        <v>0</v>
      </c>
      <c r="F35" s="346">
        <f>+Pkge!M63</f>
        <v>0</v>
      </c>
      <c r="G35" s="347" t="str">
        <f>+B31</f>
        <v>Roundup Xtend/Xtend 2</v>
      </c>
      <c r="H35" s="493">
        <f>IF($F$31&gt;0, IF(Purchases!$N$23 &gt;0,Purchases!$N$23, 0),0)</f>
        <v>0</v>
      </c>
      <c r="I35" s="492">
        <f>IF(ISNUMBER( $F$31), (H35/100)*$F$31, " ")</f>
        <v>0</v>
      </c>
      <c r="J35" s="493">
        <f>IF($F$31&gt;0,  IF(H$41 &gt;=300,  IF(Purchases!N$27 &gt;=5,  5, 0),0),0 )</f>
        <v>0</v>
      </c>
      <c r="K35" s="492">
        <f>IF(ISNUMBER( $F$31), (J35/100)*$F$31, " ")</f>
        <v>0</v>
      </c>
      <c r="L35" s="493">
        <f>IF($F$31&gt;0,IF(Purchases!C17&gt;=500, IF(H$41&gt;=300,5,0),0),0)</f>
        <v>0</v>
      </c>
      <c r="M35" s="494">
        <f>IF(ISNUMBER( $F$31), (L35/100)*$F$31, " ")</f>
        <v>0</v>
      </c>
      <c r="N35" s="504">
        <f>IF( F$31 &gt;0, IF(Purchases!N$36 = 5,5,0),0)</f>
        <v>0</v>
      </c>
      <c r="O35" s="492">
        <f>+(N35/100) *F$31</f>
        <v>0</v>
      </c>
      <c r="P35" s="350"/>
      <c r="Q35" s="350"/>
      <c r="R35" s="348">
        <f t="shared" si="4"/>
        <v>0</v>
      </c>
      <c r="S35" s="352">
        <f t="shared" si="5"/>
        <v>0</v>
      </c>
      <c r="T35" s="307"/>
    </row>
    <row r="36" spans="1:20" ht="15.75" thickBot="1" x14ac:dyDescent="0.3">
      <c r="A36" s="900"/>
      <c r="B36" s="342" t="s">
        <v>131</v>
      </c>
      <c r="C36" s="343" t="str">
        <f>+Pkge!AA65</f>
        <v>2 L</v>
      </c>
      <c r="D36" s="344">
        <f>+Pkge!L65</f>
        <v>0</v>
      </c>
      <c r="E36" s="345">
        <f>+Pkge!N65</f>
        <v>0</v>
      </c>
      <c r="F36" s="346">
        <f>+Pkge!M65</f>
        <v>0</v>
      </c>
      <c r="G36" s="347" t="str">
        <f>+B42</f>
        <v>Tundra</v>
      </c>
      <c r="H36" s="493">
        <f>IF($F$42&gt;0, IF(Purchases!$N$23 &gt;0, Purchases!$N$23, 0),0)</f>
        <v>0</v>
      </c>
      <c r="I36" s="492">
        <f>IF(ISNUMBER( $F$42), (H36/100)*$F$42, " ")</f>
        <v>0</v>
      </c>
      <c r="J36" s="493">
        <f>IF($F$42&gt;0,  IF(H$41 &gt;=300,  IF(Purchases!N$27 &gt;=5,  5, 0),0),0 )</f>
        <v>0</v>
      </c>
      <c r="K36" s="492">
        <f>IF(ISNUMBER( $F$42), (J36/100)*$F$42, " ")</f>
        <v>0</v>
      </c>
      <c r="L36" s="493">
        <f>IF($F$42&gt;0,IF(Purchases!C17&gt;=500, IF(H$41&gt;=300,5,0),0),0)</f>
        <v>0</v>
      </c>
      <c r="M36" s="494">
        <f>IF(ISNUMBER( $F$42), (L36/100)*$F$42, " ")</f>
        <v>0</v>
      </c>
      <c r="N36" s="504">
        <f>IF( F$42 &gt;0, IF(Purchases!N$36 = 5,5,0),0)</f>
        <v>0</v>
      </c>
      <c r="O36" s="492">
        <f>+(N36/100) *F$42</f>
        <v>0</v>
      </c>
      <c r="P36" s="350"/>
      <c r="Q36" s="350"/>
      <c r="R36" s="348">
        <f t="shared" si="4"/>
        <v>0</v>
      </c>
      <c r="S36" s="352">
        <f t="shared" si="5"/>
        <v>0</v>
      </c>
      <c r="T36" s="307"/>
    </row>
    <row r="37" spans="1:20" ht="15.75" thickBot="1" x14ac:dyDescent="0.3">
      <c r="A37" s="900"/>
      <c r="B37" s="342" t="s">
        <v>36</v>
      </c>
      <c r="C37" s="343" t="str">
        <f>+Pkge!AA64</f>
        <v>27 L</v>
      </c>
      <c r="D37" s="344">
        <f>+Pkge!L64</f>
        <v>0</v>
      </c>
      <c r="E37" s="345">
        <f>+Pkge!N64</f>
        <v>0</v>
      </c>
      <c r="F37" s="346">
        <f>+Pkge!M64</f>
        <v>0</v>
      </c>
      <c r="G37" s="347" t="str">
        <f>+B43</f>
        <v>Varro</v>
      </c>
      <c r="H37" s="493">
        <f>IF($F$43&gt;0, IF(Purchases!$N$23 &gt;0, Purchases!$N$23, 0),0)</f>
        <v>0</v>
      </c>
      <c r="I37" s="492">
        <f>IF(ISNUMBER( $F$43), (H37/100)*$F$43, " ")</f>
        <v>0</v>
      </c>
      <c r="J37" s="493">
        <f>IF($F$43&gt;0,  IF(H$41 &gt;=300,  IF(Purchases!N$27 &gt;=5,  5, 0),0),0 )</f>
        <v>0</v>
      </c>
      <c r="K37" s="492">
        <f>IF(ISNUMBER( $F$43), (J37/100)*$F$43, " ")</f>
        <v>0</v>
      </c>
      <c r="L37" s="493">
        <f>IF($F$43&gt;0,IF(Purchases!C17&gt;=500, IF(H$41&gt;=300,5,0),0),0)</f>
        <v>0</v>
      </c>
      <c r="M37" s="494">
        <f>IF(ISNUMBER( $F$43), (L37/100)*$F$43, " ")</f>
        <v>0</v>
      </c>
      <c r="N37" s="504">
        <f>IF( F$43 &gt;0, IF(Purchases!N$36 = 5,5,0),0)</f>
        <v>0</v>
      </c>
      <c r="O37" s="492">
        <f>+(N37/100) *F$43</f>
        <v>0</v>
      </c>
      <c r="P37" s="350"/>
      <c r="Q37" s="350"/>
      <c r="R37" s="348">
        <f t="shared" si="4"/>
        <v>0</v>
      </c>
      <c r="S37" s="352">
        <f t="shared" si="5"/>
        <v>0</v>
      </c>
      <c r="T37" s="307"/>
    </row>
    <row r="38" spans="1:20" ht="15.75" thickBot="1" x14ac:dyDescent="0.3">
      <c r="A38" s="900"/>
      <c r="B38" s="342" t="s">
        <v>38</v>
      </c>
      <c r="C38" s="343" t="str">
        <f>+Pkge!AA66</f>
        <v>8 L</v>
      </c>
      <c r="D38" s="344">
        <f>+Pkge!L68</f>
        <v>0</v>
      </c>
      <c r="E38" s="345">
        <f>+Pkge!N68</f>
        <v>0</v>
      </c>
      <c r="F38" s="346">
        <f>+Pkge!M68</f>
        <v>0</v>
      </c>
      <c r="G38" s="347" t="str">
        <f>+B51</f>
        <v>Varro FX</v>
      </c>
      <c r="H38" s="493">
        <f>IF($F$51&gt;0, IF(Purchases!$N$23 &gt;0, Purchases!$N$23, 0),0)</f>
        <v>0</v>
      </c>
      <c r="I38" s="492">
        <f>IF(ISNUMBER( $F$51), (H38/100)*$F$51, " ")</f>
        <v>0</v>
      </c>
      <c r="J38" s="493">
        <f>IF($F$51&gt;0,  IF(H$41 &gt;=300,  IF(Purchases!N$27 &gt;=5,  5, 0),0),0 )</f>
        <v>0</v>
      </c>
      <c r="K38" s="492">
        <f>IF(ISNUMBER( $F$51), (J38/100)*$F$51, " ")</f>
        <v>0</v>
      </c>
      <c r="L38" s="493">
        <f>IF($F$51&gt;0,IF(Purchases!C17&gt;=500, IF(H$41&gt;=300,5,0),0),0)</f>
        <v>0</v>
      </c>
      <c r="M38" s="494">
        <f>IF(ISNUMBER( $F$51), (L38/100)*$F$51, " ")</f>
        <v>0</v>
      </c>
      <c r="N38" s="504">
        <f>IF( F$51 &gt;0, IF(Purchases!N$36 = 5,5,0),0)</f>
        <v>0</v>
      </c>
      <c r="O38" s="492">
        <f>+(N38/100) *F$51</f>
        <v>0</v>
      </c>
      <c r="P38" s="350"/>
      <c r="Q38" s="350"/>
      <c r="R38" s="348">
        <f t="shared" si="4"/>
        <v>0</v>
      </c>
      <c r="S38" s="352">
        <f t="shared" si="5"/>
        <v>0</v>
      </c>
      <c r="T38" s="307"/>
    </row>
    <row r="39" spans="1:20" ht="15.75" thickBot="1" x14ac:dyDescent="0.3">
      <c r="A39" s="900"/>
      <c r="B39" s="342" t="s">
        <v>406</v>
      </c>
      <c r="C39" s="343" t="str">
        <f>+Pkge!AA69</f>
        <v>10.12 L</v>
      </c>
      <c r="D39" s="344">
        <f>+Pkge!L69</f>
        <v>0</v>
      </c>
      <c r="E39" s="345">
        <f>+Pkge!N69</f>
        <v>0</v>
      </c>
      <c r="F39" s="346">
        <f>+Pkge!M69</f>
        <v>0</v>
      </c>
      <c r="G39" s="347" t="str">
        <f>+B44</f>
        <v>Velocity M3</v>
      </c>
      <c r="H39" s="493">
        <f>IF($F$44&gt;0, IF(Purchases!$N$23 &gt;0,Purchases!$N$23, 0),0)</f>
        <v>0</v>
      </c>
      <c r="I39" s="492">
        <f>IF(ISNUMBER( $F$44), (H39/100)*$F$44, " ")</f>
        <v>0</v>
      </c>
      <c r="J39" s="495">
        <f>IF($F$44&gt;0,  IF(H$41 &gt;=300,  IF(Purchases!N$27 &gt;=5,  5, 0),0),0 )</f>
        <v>0</v>
      </c>
      <c r="K39" s="496">
        <f>IF(ISNUMBER( $F$44), (J39/100)*$F$44, " ")</f>
        <v>0</v>
      </c>
      <c r="L39" s="493">
        <f>IF($F$44&gt;0,IF(Purchases!C17&gt;=500, IF(H$41&gt;=300,5,0),0),0)</f>
        <v>0</v>
      </c>
      <c r="M39" s="494">
        <f>IF(ISNUMBER( $F$44), (L39/100)*$F$44, " ")</f>
        <v>0</v>
      </c>
      <c r="N39" s="504">
        <f>IF( F$44 &gt;0, IF(Purchases!N$36 = 5,5,0),0)</f>
        <v>0</v>
      </c>
      <c r="O39" s="492">
        <f>+(N39/100) *F$44</f>
        <v>0</v>
      </c>
      <c r="P39" s="350"/>
      <c r="Q39" s="350"/>
      <c r="R39" s="348">
        <f t="shared" si="4"/>
        <v>0</v>
      </c>
      <c r="S39" s="352">
        <f t="shared" si="5"/>
        <v>0</v>
      </c>
      <c r="T39" s="307"/>
    </row>
    <row r="40" spans="1:20" ht="15.75" thickBot="1" x14ac:dyDescent="0.3">
      <c r="A40" s="900"/>
      <c r="B40" s="342" t="s">
        <v>39</v>
      </c>
      <c r="C40" s="343" t="str">
        <f>+Pkge!AA70</f>
        <v>(1.5L+0.96L)</v>
      </c>
      <c r="D40" s="344">
        <f>+Pkge!L71</f>
        <v>0</v>
      </c>
      <c r="E40" s="345">
        <f>+Pkge!N71</f>
        <v>0</v>
      </c>
      <c r="F40" s="346">
        <f>+Pkge!M71</f>
        <v>0</v>
      </c>
      <c r="G40" s="347" t="str">
        <f>+B46</f>
        <v>XtendiMax/XtendiMax 2</v>
      </c>
      <c r="H40" s="493">
        <f>IF($F$46&gt;0, IF(Purchases!$N$23 &gt;0,Purchases!$N$23, 0),0)</f>
        <v>0</v>
      </c>
      <c r="I40" s="492">
        <f>IF(ISNUMBER( $F$46), (H40/100)*$F$46, " ")</f>
        <v>0</v>
      </c>
      <c r="J40" s="495">
        <f>IF($F$46&gt;0,  IF(H$41 &gt;=300,  IF(Purchases!N$27 &gt;=5,  5, 0),0),0 )</f>
        <v>0</v>
      </c>
      <c r="K40" s="496">
        <f>IF(ISNUMBER( $F$46), (J40/100)*$F$46, " ")</f>
        <v>0</v>
      </c>
      <c r="L40" s="493">
        <f>IF($F$46&gt;0,IF(Purchases!C17&gt;=500, IF(H$41&gt;=300,5,0),0),0)</f>
        <v>0</v>
      </c>
      <c r="M40" s="494">
        <f>IF(ISNUMBER( $F$46), (L40/100)*$F$46, " ")</f>
        <v>0</v>
      </c>
      <c r="N40" s="504">
        <f>IF( F$46 &gt;0, IF(Purchases!N$36 = 5,5,0),0)</f>
        <v>0</v>
      </c>
      <c r="O40" s="492">
        <f>+(N40/100) *F$46</f>
        <v>0</v>
      </c>
      <c r="P40" s="350"/>
      <c r="Q40" s="350"/>
      <c r="R40" s="348">
        <f t="shared" si="4"/>
        <v>0</v>
      </c>
      <c r="S40" s="352">
        <f t="shared" si="5"/>
        <v>0</v>
      </c>
      <c r="T40" s="307"/>
    </row>
    <row r="41" spans="1:20" ht="15.75" thickBot="1" x14ac:dyDescent="0.3">
      <c r="A41" s="307"/>
      <c r="B41" s="342" t="s">
        <v>350</v>
      </c>
      <c r="C41" s="343" t="str">
        <f>+Pkge!AA72</f>
        <v>(1.5L+0.96L+6.25L)</v>
      </c>
      <c r="D41" s="344">
        <f>+Pkge!L72</f>
        <v>0</v>
      </c>
      <c r="E41" s="345">
        <f>+Pkge!N72</f>
        <v>0</v>
      </c>
      <c r="F41" s="346">
        <f>+Pkge!M72</f>
        <v>0</v>
      </c>
      <c r="G41" s="130" t="s">
        <v>49</v>
      </c>
      <c r="H41" s="904">
        <f>+Purchases!M$23</f>
        <v>0</v>
      </c>
      <c r="I41" s="905"/>
      <c r="J41" s="139"/>
      <c r="K41" s="140" t="s">
        <v>48</v>
      </c>
      <c r="L41" s="140"/>
      <c r="M41" s="140" t="str">
        <f>IF(H41 &gt;=300, "Yes", "No")</f>
        <v>No</v>
      </c>
      <c r="N41" s="143"/>
      <c r="O41" s="141"/>
      <c r="P41" s="141"/>
      <c r="Q41" s="141"/>
      <c r="R41" s="144"/>
      <c r="S41" s="142"/>
      <c r="T41" s="307"/>
    </row>
    <row r="42" spans="1:20" ht="15.75" thickBot="1" x14ac:dyDescent="0.3">
      <c r="A42" s="307"/>
      <c r="B42" s="342" t="s">
        <v>40</v>
      </c>
      <c r="C42" s="343" t="str">
        <f>+Pkge!AA73</f>
        <v>8.1 L</v>
      </c>
      <c r="D42" s="344">
        <f>+Pkge!L75</f>
        <v>0</v>
      </c>
      <c r="E42" s="345">
        <f>+Pkge!N75</f>
        <v>0</v>
      </c>
      <c r="F42" s="346">
        <f>+Pkge!M75</f>
        <v>0</v>
      </c>
      <c r="G42" s="133" t="s">
        <v>55</v>
      </c>
      <c r="H42" s="7"/>
      <c r="I42" s="134"/>
      <c r="J42" s="8"/>
      <c r="K42" s="128"/>
      <c r="L42" s="8"/>
      <c r="M42" s="128"/>
      <c r="N42" s="6"/>
      <c r="O42" s="131"/>
      <c r="P42" s="131"/>
      <c r="Q42" s="131"/>
      <c r="R42" s="8"/>
      <c r="S42" s="129"/>
      <c r="T42" s="307"/>
    </row>
    <row r="43" spans="1:20" ht="15.75" thickBot="1" x14ac:dyDescent="0.3">
      <c r="A43" s="307"/>
      <c r="B43" s="342" t="s">
        <v>41</v>
      </c>
      <c r="C43" s="343" t="str">
        <f>+Pkge!AA76</f>
        <v>8 L</v>
      </c>
      <c r="D43" s="344">
        <f>+Pkge!L77</f>
        <v>0</v>
      </c>
      <c r="E43" s="345">
        <f>+Pkge!N77</f>
        <v>0</v>
      </c>
      <c r="F43" s="346">
        <f>+Pkge!M77</f>
        <v>0</v>
      </c>
      <c r="G43" s="347" t="str">
        <f>+B12</f>
        <v>Delaro</v>
      </c>
      <c r="H43" s="493">
        <f>IF($F$12&gt;0, IF(Purchases!$N$24 &gt;0,Purchases!$N$24, 0),0)</f>
        <v>0</v>
      </c>
      <c r="I43" s="492">
        <f>IF(ISNUMBER( $F$12), (H43/100)*$F$12, " ")</f>
        <v>0</v>
      </c>
      <c r="J43" s="493">
        <f>IF($F$12&gt;0,  IF(H$57 &gt;=300,  IF(Purchases!N$27 &gt;=5,  5, 0),0),0 )</f>
        <v>0</v>
      </c>
      <c r="K43" s="492">
        <f>IF(ISNUMBER( $F$12), (J43/100)*$F$12, " ")</f>
        <v>0</v>
      </c>
      <c r="L43" s="493">
        <f>IF($F$12&gt;0,IF(Purchases!C$17&gt;=500, IF(H$57&gt;=300,5,0),0),0)</f>
        <v>0</v>
      </c>
      <c r="M43" s="492">
        <f>IF(ISNUMBER( $F12), (L43/100)*$F12, " ")</f>
        <v>0</v>
      </c>
      <c r="N43" s="350"/>
      <c r="O43" s="350"/>
      <c r="P43" s="350"/>
      <c r="Q43" s="350"/>
      <c r="R43" s="348">
        <f>+H43+J43+L43</f>
        <v>0</v>
      </c>
      <c r="S43" s="352">
        <f>+I43+K43+M43</f>
        <v>0</v>
      </c>
      <c r="T43" s="307"/>
    </row>
    <row r="44" spans="1:20" ht="15.75" thickBot="1" x14ac:dyDescent="0.3">
      <c r="A44" s="307"/>
      <c r="B44" s="342" t="s">
        <v>42</v>
      </c>
      <c r="C44" s="343" t="str">
        <f>+Pkge!AA79</f>
        <v>8.1 L</v>
      </c>
      <c r="D44" s="344">
        <f>+Pkge!L80</f>
        <v>0</v>
      </c>
      <c r="E44" s="345">
        <f>+Pkge!N80</f>
        <v>0</v>
      </c>
      <c r="F44" s="346">
        <f>+Pkge!M80</f>
        <v>0</v>
      </c>
      <c r="G44" s="347" t="str">
        <f>+B49</f>
        <v>Delaro Complete</v>
      </c>
      <c r="H44" s="493">
        <f>IF($F$49&gt;0, IF(Purchases!$N$24 &gt;0,Purchases!$N$24, 0),0)</f>
        <v>0</v>
      </c>
      <c r="I44" s="492">
        <f>IF(ISNUMBER( $F$49), (H44/100)*$F$49, " ")</f>
        <v>0</v>
      </c>
      <c r="J44" s="493">
        <f>IF($F$49&gt;0,  IF(H$57 &gt;=300,  IF(Purchases!N$27 &gt;=5,  5, 0),0),0 )</f>
        <v>0</v>
      </c>
      <c r="K44" s="492">
        <f>IF(ISNUMBER( $F$49), (J44/100)*$F$49, " ")</f>
        <v>0</v>
      </c>
      <c r="L44" s="493">
        <f>IF($F$49&gt;0,IF(Purchases!C17&gt;=500, IF(H$57&gt;=300,5,0),0),0)</f>
        <v>0</v>
      </c>
      <c r="M44" s="492">
        <f>IF(ISNUMBER( $F49), (L44/100)*$F49, " ")</f>
        <v>0</v>
      </c>
      <c r="N44" s="350"/>
      <c r="O44" s="350"/>
      <c r="P44" s="350"/>
      <c r="Q44" s="350"/>
      <c r="R44" s="348">
        <f t="shared" ref="R44:R45" si="6">+H44+J44+L44</f>
        <v>0</v>
      </c>
      <c r="S44" s="352">
        <f t="shared" ref="S44:S45" si="7">+I44+K44+M44</f>
        <v>0</v>
      </c>
      <c r="T44" s="307"/>
    </row>
    <row r="45" spans="1:20" ht="15.75" thickBot="1" x14ac:dyDescent="0.3">
      <c r="A45" s="307"/>
      <c r="B45" s="342" t="s">
        <v>133</v>
      </c>
      <c r="C45" s="343" t="str">
        <f>+Pkge!AA78</f>
        <v>4.04 L</v>
      </c>
      <c r="D45" s="344">
        <f>+Pkge!L78</f>
        <v>0</v>
      </c>
      <c r="E45" s="345">
        <f>+Pkge!N78</f>
        <v>0</v>
      </c>
      <c r="F45" s="346">
        <f>+Pkge!M78</f>
        <v>0</v>
      </c>
      <c r="G45" s="347" t="str">
        <f>+B15</f>
        <v>Folicur EW</v>
      </c>
      <c r="H45" s="493">
        <f>IF($F$15&gt;0, IF(Purchases!$N$24 &gt;0, Purchases!$N$24, 0),0)</f>
        <v>0</v>
      </c>
      <c r="I45" s="492">
        <f>IF(ISNUMBER( $F$15), (H45/100)*$F$15, " ")</f>
        <v>0</v>
      </c>
      <c r="J45" s="493">
        <f>IF($F$15&gt;0,  IF(H$57 &gt;=300,  IF(Purchases!N$27 &gt;=5,  5, 0),0),0 )</f>
        <v>0</v>
      </c>
      <c r="K45" s="492">
        <f>IF(ISNUMBER( $F$15), (J45/100)*$F$15, " ")</f>
        <v>0</v>
      </c>
      <c r="L45" s="493">
        <f>IF($F$15&gt;0,IF(Purchases!C17&gt;=500, IF(H$57&gt;=300,5,0),0),0)</f>
        <v>0</v>
      </c>
      <c r="M45" s="492">
        <f>IF(ISNUMBER( $F15), (L45/100)*$F15, " ")</f>
        <v>0</v>
      </c>
      <c r="N45" s="350"/>
      <c r="O45" s="350"/>
      <c r="P45" s="351"/>
      <c r="Q45" s="350"/>
      <c r="R45" s="348">
        <f t="shared" si="6"/>
        <v>0</v>
      </c>
      <c r="S45" s="352">
        <f t="shared" si="7"/>
        <v>0</v>
      </c>
      <c r="T45" s="307"/>
    </row>
    <row r="46" spans="1:20" ht="15.75" thickBot="1" x14ac:dyDescent="0.3">
      <c r="A46" s="307"/>
      <c r="B46" s="342" t="s">
        <v>391</v>
      </c>
      <c r="C46" s="343" t="str">
        <f>+Pkge!AA81</f>
        <v>10 L</v>
      </c>
      <c r="D46" s="344">
        <f>+Pkge!L84</f>
        <v>0</v>
      </c>
      <c r="E46" s="345">
        <f>+Pkge!N84</f>
        <v>0</v>
      </c>
      <c r="F46" s="346">
        <f>+Pkge!M84</f>
        <v>0</v>
      </c>
      <c r="G46" s="347" t="str">
        <f>+B19</f>
        <v>Luna Tranquility</v>
      </c>
      <c r="H46" s="493">
        <f>IF($F$19&gt;0, IF(Purchases!$N$24 &gt;0,Purchases!$N$24, 0),0)</f>
        <v>0</v>
      </c>
      <c r="I46" s="492">
        <f>IF(ISNUMBER( $F$19), (H46/100)*$F$19, " ")</f>
        <v>0</v>
      </c>
      <c r="J46" s="493">
        <f>IF($F$19&gt;0,IF(H$57&gt;300,IF(Purchases!N$27&gt;=5,5,0),0),0)</f>
        <v>0</v>
      </c>
      <c r="K46" s="492">
        <f>IF(ISNUMBER( $F$19), (J46/100)*$F$19, " ")</f>
        <v>0</v>
      </c>
      <c r="L46" s="493">
        <f>IF($F$19 &gt; 0,IF(Purchases!C17&gt;=500, IF(H$57&gt;=300,5,0),0),0)</f>
        <v>0</v>
      </c>
      <c r="M46" s="492">
        <f>IF(ISNUMBER( $F19), (L46/100)*$F19, " ")</f>
        <v>0</v>
      </c>
      <c r="N46" s="350"/>
      <c r="O46" s="354"/>
      <c r="P46" s="498">
        <f>IF(H$57 &gt;= 300, IF($F$19&gt;0,  IF((Pkge!L$14 + Pkge!L$95) &gt;=500, 5,0),0 ),0)</f>
        <v>0</v>
      </c>
      <c r="Q46" s="499">
        <f>IF(ISNUMBER($F$19), (P46/100)*$F$19, " ")</f>
        <v>0</v>
      </c>
      <c r="R46" s="348">
        <f>+H46+J46+L46+P46</f>
        <v>0</v>
      </c>
      <c r="S46" s="352">
        <f>+I46+K46+M46+Q46</f>
        <v>0</v>
      </c>
      <c r="T46" s="307"/>
    </row>
    <row r="47" spans="1:20" ht="15.75" thickBot="1" x14ac:dyDescent="0.3">
      <c r="A47" s="307"/>
      <c r="B47" s="342" t="s">
        <v>412</v>
      </c>
      <c r="C47" s="343" t="str">
        <f>+Pkge!AA85</f>
        <v>3 L</v>
      </c>
      <c r="D47" s="344">
        <f>+Pkge!L85</f>
        <v>0</v>
      </c>
      <c r="E47" s="345">
        <f>+Pkge!N85</f>
        <v>0</v>
      </c>
      <c r="F47" s="346">
        <f>+Pkge!M85</f>
        <v>0</v>
      </c>
      <c r="G47" s="347" t="str">
        <f>+B48</f>
        <v>Minuet</v>
      </c>
      <c r="H47" s="493">
        <f>IF($F$48&gt;0, IF(Purchases!$N$24 &gt;0,Purchases!$N$24, 0),0)</f>
        <v>0</v>
      </c>
      <c r="I47" s="492">
        <f>IF(ISNUMBER( $F$48), (H47/100)*$F$48, " ")</f>
        <v>0</v>
      </c>
      <c r="J47" s="493">
        <f>IF($F$48&gt;0,  IF(H$57 &gt;=300,  IF(Purchases!N$27 &gt;=5,  5, 0),0),0 )</f>
        <v>0</v>
      </c>
      <c r="K47" s="496">
        <f>IF(ISNUMBER( $F$48), (J47/100)*$F$48, " ")</f>
        <v>0</v>
      </c>
      <c r="L47" s="493">
        <f>IF($F$48&gt;0,IF(Purchases!C17&gt;=500, IF(H$57&gt;=300,5,0),0),0)</f>
        <v>0</v>
      </c>
      <c r="M47" s="496">
        <f>IF(ISNUMBER( $F48), (L47/100)*$F48, " ")</f>
        <v>0</v>
      </c>
      <c r="N47" s="351"/>
      <c r="O47" s="353"/>
      <c r="P47" s="498">
        <f>IF(H$57 &gt;= 300, IF($F$48&gt;0,  IF((Pkge!L$14 + Pkge!L$95) &gt;=500, 5,0),0 ),0)</f>
        <v>0</v>
      </c>
      <c r="Q47" s="499">
        <f>IF(ISNUMBER($F$48), (P47/100)*$F$48, " ")</f>
        <v>0</v>
      </c>
      <c r="R47" s="348">
        <f>+H47+J47+L47+P47</f>
        <v>0</v>
      </c>
      <c r="S47" s="352">
        <f>+I47+K47+M47+Q47</f>
        <v>0</v>
      </c>
      <c r="T47" s="307"/>
    </row>
    <row r="48" spans="1:20" ht="15.75" thickBot="1" x14ac:dyDescent="0.3">
      <c r="A48" s="307"/>
      <c r="B48" s="342" t="s">
        <v>333</v>
      </c>
      <c r="C48" s="343" t="str">
        <f>+Pkge!AA93</f>
        <v>3.78 L</v>
      </c>
      <c r="D48" s="344">
        <f>+Pkge!L93</f>
        <v>0</v>
      </c>
      <c r="E48" s="345">
        <f>+Pkge!N93</f>
        <v>0</v>
      </c>
      <c r="F48" s="346">
        <f>+Pkge!M93</f>
        <v>0</v>
      </c>
      <c r="G48" s="347" t="str">
        <f>+B24</f>
        <v xml:space="preserve">Proline  </v>
      </c>
      <c r="H48" s="350"/>
      <c r="I48" s="350"/>
      <c r="J48" s="493">
        <f>IF($F$24&gt;0,  IF(H$57 &gt;=300,  IF(Purchases!N$27 &gt;=5,  5, 0),0),0 )</f>
        <v>0</v>
      </c>
      <c r="K48" s="496">
        <f>IF(ISNUMBER( $F$24), (J48/100)*$F$24, " ")</f>
        <v>0</v>
      </c>
      <c r="L48" s="493">
        <f>IF($F$24&gt;0,IF(Purchases!C17&gt;=500, IF(H$57&gt;=300,5,0),0),0)</f>
        <v>0</v>
      </c>
      <c r="M48" s="496">
        <f>IF(ISNUMBER( $F24), (L48/100)*$F24, " ")</f>
        <v>0</v>
      </c>
      <c r="N48" s="350"/>
      <c r="O48" s="350"/>
      <c r="P48" s="355"/>
      <c r="Q48" s="350"/>
      <c r="R48" s="348">
        <f>+J48+L48</f>
        <v>0</v>
      </c>
      <c r="S48" s="352">
        <f>+K48+M48</f>
        <v>0</v>
      </c>
      <c r="T48" s="307"/>
    </row>
    <row r="49" spans="1:24" ht="15.75" thickBot="1" x14ac:dyDescent="0.3">
      <c r="A49" s="307"/>
      <c r="B49" s="342" t="s">
        <v>363</v>
      </c>
      <c r="C49" s="343" t="str">
        <f>+Pkge!AA94</f>
        <v>7.1 L</v>
      </c>
      <c r="D49" s="344">
        <f>+Pkge!L100</f>
        <v>0</v>
      </c>
      <c r="E49" s="345">
        <f>+Pkge!N100</f>
        <v>0</v>
      </c>
      <c r="F49" s="346">
        <f>+Pkge!M100</f>
        <v>0</v>
      </c>
      <c r="G49" s="347" t="str">
        <f>+B25</f>
        <v>Proline  GOLD</v>
      </c>
      <c r="H49" s="493">
        <f>IF($F$25&gt;0, IF(Purchases!$N$24 &gt;0, Purchases!$N$24, 0),0)</f>
        <v>0</v>
      </c>
      <c r="I49" s="492">
        <f>IF(ISNUMBER( $F$25), (H49/100)*$F$25, " ")</f>
        <v>0</v>
      </c>
      <c r="J49" s="493">
        <f>IF($F$25&gt;0,  IF(H$57 &gt;=300,  IF(Purchases!N$27 &gt;=5,  5, 0),0),0 )</f>
        <v>0</v>
      </c>
      <c r="K49" s="492">
        <f>IF(ISNUMBER( $F$25), (J49/100)*$F$25, " ")</f>
        <v>0</v>
      </c>
      <c r="L49" s="493">
        <f>IF($F$25&gt;0,IF(Purchases!C17&gt;=500, IF(H$57&gt;=300,5,0),0),0)</f>
        <v>0</v>
      </c>
      <c r="M49" s="492">
        <f>IF(ISNUMBER( $F25), (L49/100)*$F25, " ")</f>
        <v>0</v>
      </c>
      <c r="N49" s="350"/>
      <c r="O49" s="350"/>
      <c r="P49" s="493">
        <f>IF(H$57 &gt;= 300, IF($F$25&gt;0,  IF((Pkge!L$14 + Pkge!L$95) &gt;=500, 5,0),0 ),0)</f>
        <v>0</v>
      </c>
      <c r="Q49" s="494">
        <f>IF(ISNUMBER($F$25), (P49/100)*$F$25, " ")</f>
        <v>0</v>
      </c>
      <c r="R49" s="348">
        <f>+H49+J49+L49+P49</f>
        <v>0</v>
      </c>
      <c r="S49" s="352">
        <f>+I49+K49+M49+Q49</f>
        <v>0</v>
      </c>
      <c r="T49" s="307"/>
    </row>
    <row r="50" spans="1:24" ht="15.75" thickBot="1" x14ac:dyDescent="0.3">
      <c r="A50" s="307"/>
      <c r="B50" s="342" t="s">
        <v>364</v>
      </c>
      <c r="C50" s="343" t="str">
        <f>+Pkge!AA95</f>
        <v>2x2.9L+0.7L+0.31L</v>
      </c>
      <c r="D50" s="344">
        <f>+Pkge!L95</f>
        <v>0</v>
      </c>
      <c r="E50" s="345">
        <f>+Pkge!N95</f>
        <v>0</v>
      </c>
      <c r="F50" s="346">
        <f>+Pkge!M95</f>
        <v>0</v>
      </c>
      <c r="G50" s="347" t="str">
        <f>+B26</f>
        <v>Prosaro PRO</v>
      </c>
      <c r="H50" s="493">
        <f>IF($F$26&gt;0, IF(Purchases!$N$24 &gt;0, Purchases!$N$24, 0),0)</f>
        <v>0</v>
      </c>
      <c r="I50" s="492">
        <f>IF(ISNUMBER( $F$26), (H50/100)*$F$26, " ")</f>
        <v>0</v>
      </c>
      <c r="J50" s="493">
        <f>IF($F$26&gt;0,  IF(H$57 &gt;=300,  IF(Purchases!N$27 &gt;=5,  5, 0),0),0 )</f>
        <v>0</v>
      </c>
      <c r="K50" s="492">
        <f>IF(ISNUMBER( $F$26), (J50/100)*$F$26, " ")</f>
        <v>0</v>
      </c>
      <c r="L50" s="493">
        <f>IF($F$26&gt;0,IF(Purchases!C17&gt;=500, IF(H$57&gt;=300,5,0),0),0)</f>
        <v>0</v>
      </c>
      <c r="M50" s="492">
        <f>IF(ISNUMBER( $F26), (L50/100)*$F26, " ")</f>
        <v>0</v>
      </c>
      <c r="N50" s="350"/>
      <c r="O50" s="350"/>
      <c r="P50" s="350"/>
      <c r="Q50" s="350"/>
      <c r="R50" s="348">
        <f>+H50+J50+L50</f>
        <v>0</v>
      </c>
      <c r="S50" s="352">
        <f>+I50+K50+M50</f>
        <v>0</v>
      </c>
      <c r="T50" s="307"/>
    </row>
    <row r="51" spans="1:24" ht="16.5" customHeight="1" thickBot="1" x14ac:dyDescent="0.3">
      <c r="A51" s="307"/>
      <c r="B51" s="342" t="s">
        <v>365</v>
      </c>
      <c r="C51" s="343" t="str">
        <f>+Pkge!AA96</f>
        <v>8 L</v>
      </c>
      <c r="D51" s="344">
        <f>+Pkge!L98</f>
        <v>0</v>
      </c>
      <c r="E51" s="345">
        <f>+Pkge!N98</f>
        <v>0</v>
      </c>
      <c r="F51" s="346">
        <f>+Pkge!M98</f>
        <v>0</v>
      </c>
      <c r="G51" s="347" t="str">
        <f>+B27</f>
        <v xml:space="preserve">Prosaro XTR </v>
      </c>
      <c r="H51" s="350"/>
      <c r="I51" s="350"/>
      <c r="J51" s="493">
        <f>IF($F$27&gt;0,  IF(H$57 &gt;=300,  IF(Purchases!N$27 &gt;=5,  5, 0),0),0 )</f>
        <v>0</v>
      </c>
      <c r="K51" s="492">
        <f>IF(ISNUMBER( $F$27), (J51/100)*$F$27, " ")</f>
        <v>0</v>
      </c>
      <c r="L51" s="493">
        <f>IF($F$27&gt;0,IF(Purchases!C17&gt;=500, IF(H$57&gt;=300,5,0),0),0)</f>
        <v>0</v>
      </c>
      <c r="M51" s="492">
        <f>IF(ISNUMBER( $F27), (L51/100)*$F27, " ")</f>
        <v>0</v>
      </c>
      <c r="N51" s="350"/>
      <c r="O51" s="350"/>
      <c r="P51" s="350"/>
      <c r="Q51" s="350"/>
      <c r="R51" s="348">
        <f>+J51+L51</f>
        <v>0</v>
      </c>
      <c r="S51" s="352">
        <f>+I51+K51+M51</f>
        <v>0</v>
      </c>
      <c r="T51" s="307"/>
    </row>
    <row r="52" spans="1:24" ht="15.75" customHeight="1" thickBot="1" x14ac:dyDescent="0.3">
      <c r="A52" s="307"/>
      <c r="B52" s="342" t="s">
        <v>366</v>
      </c>
      <c r="C52" s="343" t="str">
        <f>+Pkge!AA97</f>
        <v>4.04 L</v>
      </c>
      <c r="D52" s="344">
        <f>+Pkge!L97</f>
        <v>0</v>
      </c>
      <c r="E52" s="345">
        <f>+Pkge!N97</f>
        <v>0</v>
      </c>
      <c r="F52" s="346">
        <f>+Pkge!M97</f>
        <v>0</v>
      </c>
      <c r="G52" s="347" t="str">
        <f>+B33</f>
        <v>Scala</v>
      </c>
      <c r="H52" s="493">
        <f>IF($F$33&gt;0, IF(Purchases!$N$24 &gt;0,Purchases!$N$24, 0),0)</f>
        <v>0</v>
      </c>
      <c r="I52" s="492">
        <f>IF(ISNUMBER( $F$33), (H52/100)*$F$33, " ")</f>
        <v>0</v>
      </c>
      <c r="J52" s="493">
        <f>IF($F$33&gt;0,  IF(H$57 &gt;=300,  IF(Purchases!N$27 &gt;=5,  5, 0),0),0 )</f>
        <v>0</v>
      </c>
      <c r="K52" s="492">
        <f>IF(ISNUMBER( $F$33), (J52/100)*$F$33, " ")</f>
        <v>0</v>
      </c>
      <c r="L52" s="493">
        <f>IF($F$33&gt;0,IF(Purchases!C17&gt;=500, IF(H$57&gt;=300,5,0),0),0)</f>
        <v>0</v>
      </c>
      <c r="M52" s="492">
        <f>IF(ISNUMBER( $F33), (L52/100)*$F33, " ")</f>
        <v>0</v>
      </c>
      <c r="N52" s="350"/>
      <c r="O52" s="350"/>
      <c r="P52" s="493">
        <f>IF(H$57 &gt;= 300, IF($F$33&gt;0,  IF((Pkge!L$14 + Pkge!L$95) &gt;=500, 5,0),0 ),0)</f>
        <v>0</v>
      </c>
      <c r="Q52" s="494">
        <f>IF(ISNUMBER($F$33), (P52/100)*$F$33, " ")</f>
        <v>0</v>
      </c>
      <c r="R52" s="348">
        <f>+H52+J52+L52+P52</f>
        <v>0</v>
      </c>
      <c r="S52" s="352">
        <f t="shared" ref="S52" si="8">+I52+K52+M52+Q52</f>
        <v>0</v>
      </c>
      <c r="T52" s="307"/>
    </row>
    <row r="53" spans="1:24" ht="15.75" customHeight="1" thickBot="1" x14ac:dyDescent="0.3">
      <c r="A53" s="307"/>
      <c r="B53" s="342" t="s">
        <v>447</v>
      </c>
      <c r="C53" s="343" t="str">
        <f>+Pkge!AA101</f>
        <v>8.1 L</v>
      </c>
      <c r="D53" s="344">
        <f>+Pkge!L103</f>
        <v>0</v>
      </c>
      <c r="E53" s="345">
        <f>+Pkge!N103</f>
        <v>0</v>
      </c>
      <c r="F53" s="346">
        <f>+Pkge!M103</f>
        <v>0</v>
      </c>
      <c r="G53" s="347" t="str">
        <f>+B34</f>
        <v>Serenade SOIL</v>
      </c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48"/>
      <c r="S53" s="352"/>
      <c r="T53" s="307"/>
    </row>
    <row r="54" spans="1:24" ht="17.25" customHeight="1" thickBot="1" x14ac:dyDescent="0.3">
      <c r="A54" s="307"/>
      <c r="B54" s="342" t="s">
        <v>446</v>
      </c>
      <c r="C54" s="343" t="str">
        <f>+Pkge!AA104</f>
        <v>10 L</v>
      </c>
      <c r="D54" s="344">
        <f>+Pkge!L107</f>
        <v>0</v>
      </c>
      <c r="E54" s="345">
        <f>+Pkge!N107</f>
        <v>0</v>
      </c>
      <c r="F54" s="346">
        <f>+Pkge!M107</f>
        <v>0</v>
      </c>
      <c r="G54" s="347" t="str">
        <f>+B39</f>
        <v>TilMOR</v>
      </c>
      <c r="H54" s="493">
        <f>IF($F$39&gt;0, IF(Purchases!$N$24 &gt;0, Purchases!$N$24, 0),0)</f>
        <v>0</v>
      </c>
      <c r="I54" s="492">
        <f>IF(ISNUMBER( $F$39), (H54/100)*$F$39, " ")</f>
        <v>0</v>
      </c>
      <c r="J54" s="493">
        <f>IF($F$39&gt;0,  IF(H$57 &gt;=300,  IF(Purchases!N$27 &gt;=5,  5, 0),0),0 )</f>
        <v>0</v>
      </c>
      <c r="K54" s="492">
        <f>IF(ISNUMBER( $F$39), (J54/100)*$F$39, " ")</f>
        <v>0</v>
      </c>
      <c r="L54" s="493">
        <f>IF($F$39&gt;0,IF(Purchases!C17&gt;=500, IF(H$57&gt;=300,5,0),0),0)</f>
        <v>0</v>
      </c>
      <c r="M54" s="492">
        <f>IF(ISNUMBER( $F39), (L54/100)*$F39, " ")</f>
        <v>0</v>
      </c>
      <c r="N54" s="350"/>
      <c r="O54" s="350"/>
      <c r="P54" s="350"/>
      <c r="Q54" s="350"/>
      <c r="R54" s="348">
        <f>+H54+J54+L54</f>
        <v>0</v>
      </c>
      <c r="S54" s="352">
        <f>+I54+K54+M54</f>
        <v>0</v>
      </c>
      <c r="T54" s="307"/>
    </row>
    <row r="55" spans="1:24" ht="15.75" customHeight="1" thickBot="1" x14ac:dyDescent="0.3">
      <c r="A55" s="307"/>
      <c r="B55" s="342"/>
      <c r="C55" s="343"/>
      <c r="D55" s="344"/>
      <c r="E55" s="345"/>
      <c r="F55" s="346"/>
      <c r="G55" s="347" t="str">
        <f>+B45</f>
        <v>Velum Prime</v>
      </c>
      <c r="H55" s="493">
        <f>IF($F$45&gt;0, IF(Purchases!$N$24 &gt;0,Purchases!$N$24, 0),0)</f>
        <v>0</v>
      </c>
      <c r="I55" s="492">
        <f>IF(ISNUMBER( $F$45), (H55/100)*$F$45, " ")</f>
        <v>0</v>
      </c>
      <c r="J55" s="493">
        <f>IF($F$45&gt;0,  IF(H$57 &gt;=300,  IF(Purchases!N$27 &gt;=5,  5, 0),0),0 )</f>
        <v>0</v>
      </c>
      <c r="K55" s="496">
        <f>IF(ISNUMBER( $F$45), (J55/100)*$F$45, " ")</f>
        <v>0</v>
      </c>
      <c r="L55" s="493">
        <f>IF($F$45&gt;0,IF(Purchases!C17&gt;=500, IF(H$57&gt;=300,5,0),0),0)</f>
        <v>0</v>
      </c>
      <c r="M55" s="496">
        <f>IF(ISNUMBER( $F45), (L55/100)*$F45, " ")</f>
        <v>0</v>
      </c>
      <c r="N55" s="351"/>
      <c r="O55" s="351"/>
      <c r="P55" s="493">
        <f>IF(H$57 &gt;= 300, IF($F$45&gt;0,  IF((Pkge!L$14 + Pkge!L$95) &gt;=500, 5,0),0 ),0)</f>
        <v>0</v>
      </c>
      <c r="Q55" s="494">
        <f>IF(ISNUMBER($F$45), (P55/100)*$F$45, " ")</f>
        <v>0</v>
      </c>
      <c r="R55" s="348">
        <f>+H55+J55+L55+P55</f>
        <v>0</v>
      </c>
      <c r="S55" s="352">
        <f t="shared" ref="S55:S56" si="9">+I55+K55+M55+Q55</f>
        <v>0</v>
      </c>
      <c r="T55" s="307"/>
    </row>
    <row r="56" spans="1:24" ht="15.75" customHeight="1" thickBot="1" x14ac:dyDescent="0.3">
      <c r="A56" s="307"/>
      <c r="B56" s="342"/>
      <c r="C56" s="343"/>
      <c r="D56" s="344"/>
      <c r="E56" s="345"/>
      <c r="F56" s="346"/>
      <c r="G56" s="347" t="str">
        <f>+B52</f>
        <v>Velum Rise</v>
      </c>
      <c r="H56" s="493">
        <f>IF($F$52&gt;0, IF(Purchases!$N$24 &gt;0,Purchases!$N$24, 0),0)</f>
        <v>0</v>
      </c>
      <c r="I56" s="492">
        <f>IF(ISNUMBER( $F$52), (H56/100)*$F$52, " ")</f>
        <v>0</v>
      </c>
      <c r="J56" s="493">
        <f>IF($F$52&gt;0,  IF(H$57 &gt;=300,  IF(Purchases!N$27 &gt;=5,  5, 0),0),0 )</f>
        <v>0</v>
      </c>
      <c r="K56" s="496">
        <f>IF(ISNUMBER( $F$52), (J56/100)*$F$52, " ")</f>
        <v>0</v>
      </c>
      <c r="L56" s="493">
        <f>IF($F$52&gt;0,IF(Purchases!C17&gt;=500, IF(H$57&gt;=300,5,0),0),0)</f>
        <v>0</v>
      </c>
      <c r="M56" s="496">
        <f>IF(ISNUMBER( $F52), (L56/100)*$F52, " ")</f>
        <v>0</v>
      </c>
      <c r="N56" s="351"/>
      <c r="O56" s="353"/>
      <c r="P56" s="493">
        <f>IF(H$57 &gt;= 300, IF($F$52&gt;0,  IF((Pkge!L$14 + Pkge!L$95) &gt;=500, 5,0),0 ),0)</f>
        <v>0</v>
      </c>
      <c r="Q56" s="499">
        <f>IF(ISNUMBER($F$52), (P56/100)*$F$52, " ")</f>
        <v>0</v>
      </c>
      <c r="R56" s="348">
        <f>+H56+J56+L56+P56</f>
        <v>0</v>
      </c>
      <c r="S56" s="352">
        <f t="shared" si="9"/>
        <v>0</v>
      </c>
      <c r="T56" s="307"/>
    </row>
    <row r="57" spans="1:24" ht="21.75" customHeight="1" thickBot="1" x14ac:dyDescent="0.3">
      <c r="A57" s="307"/>
      <c r="B57" s="161" t="s">
        <v>100</v>
      </c>
      <c r="C57" s="162"/>
      <c r="D57" s="163"/>
      <c r="E57" s="928">
        <f>SUM(F10:F56)</f>
        <v>0</v>
      </c>
      <c r="F57" s="929"/>
      <c r="G57" s="135" t="s">
        <v>50</v>
      </c>
      <c r="H57" s="904">
        <f>+Purchases!M$24</f>
        <v>0</v>
      </c>
      <c r="I57" s="905"/>
      <c r="J57" s="139"/>
      <c r="K57" s="140" t="s">
        <v>48</v>
      </c>
      <c r="L57" s="140"/>
      <c r="M57" s="140" t="str">
        <f>IF(H57 &gt;=300, "Yes", "No")</f>
        <v>No</v>
      </c>
      <c r="N57" s="141"/>
      <c r="O57" s="141"/>
      <c r="P57" s="6"/>
      <c r="Q57" s="141"/>
      <c r="R57" s="141"/>
      <c r="S57" s="142"/>
      <c r="T57" s="307"/>
    </row>
    <row r="58" spans="1:24" ht="15.75" thickBot="1" x14ac:dyDescent="0.3">
      <c r="A58" s="307"/>
      <c r="B58" s="298"/>
      <c r="C58" s="299"/>
      <c r="D58" s="300" t="s">
        <v>225</v>
      </c>
      <c r="E58" s="301"/>
      <c r="F58" s="302">
        <f>+E57-Purchases!H66</f>
        <v>0</v>
      </c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</row>
    <row r="59" spans="1:24" ht="15.75" thickBot="1" x14ac:dyDescent="0.3">
      <c r="A59" s="307"/>
      <c r="B59" s="294" t="s">
        <v>461</v>
      </c>
      <c r="C59" s="295"/>
      <c r="D59" s="296"/>
      <c r="E59" s="297"/>
      <c r="F59" s="324">
        <f>+Purchases!C17</f>
        <v>0</v>
      </c>
      <c r="G59" s="491" t="s">
        <v>445</v>
      </c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</row>
    <row r="60" spans="1:24" ht="15.75" thickBot="1" x14ac:dyDescent="0.3">
      <c r="A60" s="307"/>
      <c r="B60" s="160" t="s">
        <v>139</v>
      </c>
      <c r="C60" s="1"/>
      <c r="D60" s="1"/>
      <c r="E60" s="1"/>
      <c r="F60" s="1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</row>
    <row r="61" spans="1:24" ht="19.5" thickBot="1" x14ac:dyDescent="0.35">
      <c r="A61" s="307"/>
      <c r="B61" s="307"/>
      <c r="C61" s="307"/>
      <c r="D61" s="307"/>
      <c r="E61" s="307"/>
      <c r="F61" s="307"/>
      <c r="G61" s="661" t="s">
        <v>462</v>
      </c>
      <c r="H61" s="906">
        <f>SUM(I11:I24) + SUM(I27:I40) + SUM(I43:I56)</f>
        <v>0</v>
      </c>
      <c r="I61" s="907"/>
      <c r="J61" s="901">
        <f>SUM(K11:K24) + SUM(K27:K40) + SUM(K43:K56)</f>
        <v>0</v>
      </c>
      <c r="K61" s="902"/>
      <c r="L61" s="901">
        <f>SUM(M11:M24) + SUM(M27:M40) + SUM(M43:M56)</f>
        <v>0</v>
      </c>
      <c r="M61" s="902"/>
      <c r="N61" s="901">
        <f>SUM(O11:O24) + SUM(O27:O40) + SUM(O43:O56)</f>
        <v>0</v>
      </c>
      <c r="O61" s="902"/>
      <c r="P61" s="901">
        <f>SUM(Q11:Q24) + SUM(Q27:Q40) + SUM(Q43:Q56)</f>
        <v>0</v>
      </c>
      <c r="Q61" s="902"/>
      <c r="R61" s="505"/>
      <c r="S61" s="506">
        <f>SUM(S11:S56)</f>
        <v>0</v>
      </c>
      <c r="T61" s="307"/>
      <c r="U61" s="518">
        <f>+H61+J61+L61+N61+P61</f>
        <v>0</v>
      </c>
      <c r="V61" s="509" t="s">
        <v>434</v>
      </c>
      <c r="W61" s="509"/>
      <c r="X61" s="518">
        <f>+S61-U61</f>
        <v>0</v>
      </c>
    </row>
    <row r="62" spans="1:24" ht="21.75" thickBot="1" x14ac:dyDescent="0.3">
      <c r="A62" s="307"/>
      <c r="B62" s="307"/>
      <c r="C62" s="307"/>
      <c r="D62" s="307"/>
      <c r="E62" s="307"/>
      <c r="F62" s="307"/>
      <c r="G62" s="514" t="s">
        <v>433</v>
      </c>
      <c r="H62" s="511">
        <f>IF($F$52&gt;0, IF(Purchases!$N$24 &gt;0,Purchases!$N$24, 0),0)</f>
        <v>0</v>
      </c>
      <c r="I62" s="515">
        <f>IF(ISNUMBER( $F$52), (H62/100)*$F$52, " ")</f>
        <v>0</v>
      </c>
      <c r="J62" s="136"/>
      <c r="K62" s="145" t="s">
        <v>428</v>
      </c>
      <c r="L62" s="9"/>
      <c r="M62" s="9"/>
      <c r="N62" s="9"/>
      <c r="O62" s="9"/>
      <c r="P62" s="9"/>
      <c r="Q62" s="9"/>
      <c r="R62" s="901">
        <f>IF(Purchases!S$20 = TRUE, +Purchases!M41 * 1, Purchases!M36* 1)</f>
        <v>0</v>
      </c>
      <c r="S62" s="902"/>
      <c r="T62" s="307"/>
    </row>
    <row r="63" spans="1:24" ht="21.75" thickBot="1" x14ac:dyDescent="0.3">
      <c r="A63" s="307"/>
      <c r="B63" s="507"/>
      <c r="C63" s="508" t="s">
        <v>2</v>
      </c>
      <c r="D63" s="930"/>
      <c r="E63" s="899"/>
      <c r="F63" s="307"/>
      <c r="G63" s="514"/>
      <c r="H63" s="511"/>
      <c r="I63" s="515"/>
      <c r="J63" s="136"/>
      <c r="K63" s="145" t="s">
        <v>458</v>
      </c>
      <c r="L63" s="9"/>
      <c r="M63" s="9"/>
      <c r="N63" s="9"/>
      <c r="O63" s="9"/>
      <c r="P63" s="9"/>
      <c r="Q63" s="9"/>
      <c r="R63" s="901" t="str">
        <f>+Purchases!H69</f>
        <v xml:space="preserve"> </v>
      </c>
      <c r="S63" s="902"/>
      <c r="T63" s="307"/>
    </row>
    <row r="64" spans="1:24" ht="21.75" thickBot="1" x14ac:dyDescent="0.3">
      <c r="A64" s="307"/>
      <c r="B64" s="507" t="s">
        <v>443</v>
      </c>
      <c r="C64" s="510">
        <f>+D11+D16+D17+D18+D20+D22+D23+D28+D31+D38+(D42*2)+D43+(D44*2)+D46+D51+D53</f>
        <v>0</v>
      </c>
      <c r="D64" s="898"/>
      <c r="E64" s="899"/>
      <c r="F64" s="307"/>
      <c r="G64" s="511"/>
      <c r="H64" s="511"/>
      <c r="I64" s="511"/>
      <c r="J64" s="9"/>
      <c r="K64" s="145" t="str">
        <f>+Purchases!Q6</f>
        <v>BayerValue™ Rewards</v>
      </c>
      <c r="L64" s="9"/>
      <c r="M64" s="9"/>
      <c r="N64" s="9"/>
      <c r="O64" s="9"/>
      <c r="P64" s="9"/>
      <c r="Q64" s="9"/>
      <c r="R64" s="901">
        <f>SUM(R61:S63)</f>
        <v>0</v>
      </c>
      <c r="S64" s="902"/>
      <c r="T64" s="307"/>
    </row>
    <row r="65" spans="1:20" ht="16.5" thickBot="1" x14ac:dyDescent="0.3">
      <c r="A65" s="307"/>
      <c r="B65" s="507" t="s">
        <v>444</v>
      </c>
      <c r="C65" s="510">
        <f>+D14+D29+(D30*2)+D37+D40+(D41*2)</f>
        <v>0</v>
      </c>
      <c r="D65" s="898"/>
      <c r="E65" s="899"/>
      <c r="F65" s="307"/>
      <c r="G65" s="511"/>
      <c r="H65" s="511"/>
      <c r="I65" s="511"/>
      <c r="J65" s="9"/>
      <c r="K65" s="9"/>
      <c r="L65" s="9"/>
      <c r="M65" s="9"/>
      <c r="N65" s="9"/>
      <c r="O65" s="137" t="s">
        <v>368</v>
      </c>
      <c r="P65" s="137"/>
      <c r="Q65" s="137"/>
      <c r="R65" s="903">
        <f>IF( $E57 &gt;0,  $R64/$E57,0)</f>
        <v>0</v>
      </c>
      <c r="S65" s="902"/>
      <c r="T65" s="307"/>
    </row>
    <row r="66" spans="1:20" ht="15.75" thickBot="1" x14ac:dyDescent="0.3">
      <c r="A66" s="307"/>
      <c r="B66" s="307"/>
      <c r="C66" s="307"/>
      <c r="D66" s="307"/>
      <c r="E66" s="307"/>
      <c r="F66" s="307"/>
      <c r="G66" s="511"/>
      <c r="H66" s="511"/>
      <c r="I66" s="511"/>
      <c r="J66" s="6"/>
      <c r="K66" s="132"/>
      <c r="L66" s="131"/>
      <c r="M66" s="131"/>
      <c r="N66" s="131"/>
      <c r="O66" s="131"/>
      <c r="P66" s="131"/>
      <c r="Q66" s="131"/>
      <c r="R66" s="6"/>
      <c r="S66" s="132"/>
      <c r="T66" s="307"/>
    </row>
    <row r="67" spans="1:20" ht="21.75" thickBot="1" x14ac:dyDescent="0.3">
      <c r="A67" s="307"/>
      <c r="B67" s="507" t="s">
        <v>459</v>
      </c>
      <c r="C67" s="510">
        <f>+D22+D23+D53</f>
        <v>0</v>
      </c>
      <c r="D67" s="511"/>
      <c r="E67" s="511"/>
      <c r="F67" s="307"/>
      <c r="G67" s="511" t="s">
        <v>382</v>
      </c>
      <c r="H67" s="511"/>
      <c r="I67" s="516"/>
      <c r="J67" s="356"/>
      <c r="K67" s="357" t="s">
        <v>362</v>
      </c>
      <c r="L67" s="358"/>
      <c r="M67" s="358"/>
      <c r="N67" s="358"/>
      <c r="O67" s="358"/>
      <c r="P67" s="360">
        <f>SUM(P$11:P$56)</f>
        <v>0</v>
      </c>
      <c r="Q67" s="362" t="str">
        <f>IF(P67 &gt;0, "Yes", "No")</f>
        <v>No</v>
      </c>
      <c r="R67" s="356"/>
      <c r="S67" s="356"/>
      <c r="T67" s="307"/>
    </row>
    <row r="68" spans="1:20" ht="21.75" thickBot="1" x14ac:dyDescent="0.3">
      <c r="A68" s="307"/>
      <c r="B68" s="507" t="s">
        <v>446</v>
      </c>
      <c r="C68" s="510">
        <f>+D54</f>
        <v>0</v>
      </c>
      <c r="D68" s="511"/>
      <c r="E68" s="511"/>
      <c r="F68" s="307"/>
      <c r="G68" s="511" t="s">
        <v>383</v>
      </c>
      <c r="H68" s="511"/>
      <c r="I68" s="517"/>
      <c r="J68" s="359"/>
      <c r="K68" s="357" t="s">
        <v>432</v>
      </c>
      <c r="L68" s="358"/>
      <c r="M68" s="358"/>
      <c r="N68" s="358"/>
      <c r="O68" s="358"/>
      <c r="P68" s="361">
        <f>SUM(L11:L$56)</f>
        <v>0</v>
      </c>
      <c r="Q68" s="362" t="str">
        <f>IF(P68 &gt;0, "Yes", "No")</f>
        <v>No</v>
      </c>
      <c r="R68" s="356"/>
      <c r="S68" s="356"/>
      <c r="T68" s="307"/>
    </row>
    <row r="69" spans="1:20" ht="21.75" thickBot="1" x14ac:dyDescent="0.3">
      <c r="A69" s="307"/>
      <c r="B69" s="507" t="s">
        <v>453</v>
      </c>
      <c r="C69" s="507">
        <f>IF(C67 &gt;= 300, 1 ) + IF(C68 &gt;=300, 1,0)</f>
        <v>0</v>
      </c>
      <c r="D69" s="511"/>
      <c r="E69" s="511"/>
      <c r="F69" s="307"/>
      <c r="G69" s="511" t="s">
        <v>384</v>
      </c>
      <c r="H69" s="511"/>
      <c r="I69" s="517"/>
      <c r="J69" s="359"/>
      <c r="K69" s="357" t="s">
        <v>431</v>
      </c>
      <c r="L69" s="358"/>
      <c r="M69" s="358"/>
      <c r="N69" s="358"/>
      <c r="O69" s="358"/>
      <c r="P69" s="361"/>
      <c r="Q69" s="362" t="str">
        <f>+C70</f>
        <v>No</v>
      </c>
      <c r="R69" s="356"/>
      <c r="S69" s="356"/>
      <c r="T69" s="307"/>
    </row>
    <row r="70" spans="1:20" ht="21.75" thickBot="1" x14ac:dyDescent="0.3">
      <c r="A70" s="307"/>
      <c r="B70" s="507" t="s">
        <v>452</v>
      </c>
      <c r="C70" s="508" t="str">
        <f>IF(C69 &gt;= 2, "Yes", "No")</f>
        <v>No</v>
      </c>
      <c r="D70" s="511"/>
      <c r="E70" s="511"/>
      <c r="F70" s="307"/>
      <c r="G70" s="307"/>
      <c r="H70" s="307"/>
      <c r="I70" s="307"/>
      <c r="J70" s="359"/>
      <c r="K70" s="357"/>
      <c r="L70" s="358"/>
      <c r="M70" s="358"/>
      <c r="N70" s="358"/>
      <c r="O70" s="358"/>
      <c r="P70" s="361"/>
      <c r="Q70" s="362"/>
      <c r="R70" s="356"/>
      <c r="S70" s="356"/>
      <c r="T70" s="307"/>
    </row>
    <row r="71" spans="1:20" x14ac:dyDescent="0.25">
      <c r="A71" s="307"/>
      <c r="B71" s="507" t="s">
        <v>430</v>
      </c>
      <c r="C71" s="507">
        <f>IF(C69 &gt;= 2, IF(C67 &lt;= C68, C67, C68), 0)</f>
        <v>0</v>
      </c>
      <c r="D71" s="511"/>
      <c r="E71" s="511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</row>
    <row r="72" spans="1:20" x14ac:dyDescent="0.25">
      <c r="A72" s="307"/>
      <c r="B72" s="511"/>
      <c r="C72" s="511"/>
      <c r="D72" s="511"/>
      <c r="E72" s="511"/>
      <c r="F72" s="307"/>
      <c r="G72" s="307"/>
      <c r="H72" s="307"/>
      <c r="I72" s="307"/>
      <c r="J72" s="307"/>
      <c r="K72" s="307"/>
      <c r="L72" s="307"/>
      <c r="M72" s="307"/>
      <c r="Q72" s="307"/>
      <c r="R72" s="307"/>
      <c r="S72" s="307"/>
      <c r="T72" s="307"/>
    </row>
    <row r="73" spans="1:20" x14ac:dyDescent="0.25">
      <c r="A73" s="307"/>
      <c r="B73" s="511"/>
      <c r="C73" s="511"/>
      <c r="D73" s="511"/>
      <c r="E73" s="511"/>
      <c r="F73" s="307"/>
      <c r="G73" s="307"/>
      <c r="H73" s="307"/>
      <c r="I73" s="307"/>
      <c r="J73" s="307"/>
      <c r="K73" s="307"/>
      <c r="L73" s="307"/>
      <c r="M73" s="307"/>
      <c r="R73" s="307"/>
      <c r="S73" s="307"/>
      <c r="T73" s="307"/>
    </row>
    <row r="74" spans="1:20" x14ac:dyDescent="0.25">
      <c r="A74" s="307"/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R74" s="307"/>
      <c r="S74" s="307"/>
      <c r="T74" s="307"/>
    </row>
    <row r="75" spans="1:20" x14ac:dyDescent="0.25">
      <c r="A75" s="307"/>
      <c r="B75" s="307"/>
      <c r="C75" s="307"/>
      <c r="D75" s="307"/>
      <c r="E75" s="307"/>
      <c r="F75" s="511" t="s">
        <v>372</v>
      </c>
      <c r="G75" s="511"/>
      <c r="H75" s="307"/>
      <c r="I75" s="307"/>
      <c r="J75" s="307"/>
      <c r="K75" s="307"/>
      <c r="L75" s="307"/>
      <c r="S75" s="307"/>
      <c r="T75" s="307"/>
    </row>
    <row r="76" spans="1:20" x14ac:dyDescent="0.25">
      <c r="A76" s="307"/>
      <c r="B76" s="307"/>
      <c r="C76" s="307"/>
      <c r="D76" s="307"/>
      <c r="E76" s="307"/>
      <c r="F76" s="178"/>
      <c r="G76" s="513" t="s">
        <v>336</v>
      </c>
      <c r="H76" s="307"/>
      <c r="I76" s="307"/>
      <c r="J76" s="307"/>
      <c r="K76" s="307"/>
      <c r="T76" s="307"/>
    </row>
    <row r="77" spans="1:20" x14ac:dyDescent="0.25">
      <c r="A77" s="307"/>
      <c r="B77" s="307"/>
      <c r="C77" s="307"/>
      <c r="D77" s="307"/>
      <c r="E77" s="307"/>
      <c r="F77" s="136"/>
      <c r="G77" s="513" t="s">
        <v>369</v>
      </c>
      <c r="H77" s="307"/>
      <c r="I77" s="307"/>
      <c r="J77" s="307"/>
      <c r="T77" s="307"/>
    </row>
    <row r="78" spans="1:20" ht="15.75" thickBot="1" x14ac:dyDescent="0.3">
      <c r="A78" s="307"/>
      <c r="B78" s="307"/>
      <c r="C78" s="307"/>
      <c r="D78" s="307"/>
      <c r="E78" s="307"/>
      <c r="F78" s="339"/>
      <c r="G78" s="513" t="s">
        <v>371</v>
      </c>
      <c r="H78" s="307"/>
      <c r="I78" s="307"/>
      <c r="T78" s="307"/>
    </row>
    <row r="79" spans="1:20" x14ac:dyDescent="0.25">
      <c r="A79" s="307"/>
      <c r="B79" s="307"/>
      <c r="C79" s="307"/>
      <c r="D79" s="307"/>
      <c r="E79" s="307"/>
      <c r="F79" s="512"/>
      <c r="G79" s="513" t="s">
        <v>371</v>
      </c>
      <c r="H79" s="307"/>
      <c r="I79" s="307"/>
      <c r="T79" s="307"/>
    </row>
    <row r="80" spans="1:20" ht="21" x14ac:dyDescent="0.25">
      <c r="A80" s="307"/>
      <c r="B80" s="307"/>
      <c r="C80" s="307"/>
      <c r="D80" s="307"/>
      <c r="E80" s="307"/>
      <c r="F80" s="357"/>
      <c r="G80" s="513" t="s">
        <v>463</v>
      </c>
      <c r="H80" s="307"/>
      <c r="I80" s="307"/>
      <c r="T80" s="307"/>
    </row>
    <row r="81" spans="1:20" ht="15.75" thickBot="1" x14ac:dyDescent="0.3">
      <c r="A81" s="307"/>
      <c r="B81" s="307"/>
      <c r="C81" s="307"/>
      <c r="D81" s="307"/>
      <c r="E81" s="307"/>
      <c r="F81" s="320"/>
      <c r="G81" s="513" t="s">
        <v>464</v>
      </c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</row>
    <row r="82" spans="1:20" x14ac:dyDescent="0.25">
      <c r="C82" s="307"/>
      <c r="D82" s="307"/>
      <c r="E82" s="307"/>
      <c r="F82" s="439"/>
      <c r="G82" s="513" t="s">
        <v>465</v>
      </c>
      <c r="H82" s="307"/>
    </row>
    <row r="83" spans="1:20" x14ac:dyDescent="0.25">
      <c r="C83" s="307"/>
      <c r="D83" s="307"/>
      <c r="E83" s="307"/>
      <c r="F83" s="674"/>
    </row>
  </sheetData>
  <sheetProtection algorithmName="SHA-512" hashValue="UrMT4/ix3chaFBc84oDG4mkflHXOckqWrOZnDsZnaOMMjPu0gJvFD7fD/LyS5dD/uRuso1VMK5sUk/NAKR9FsQ==" saltValue="pkPsvpLMy0qe/bPTL9nYCA==" spinCount="100000" sheet="1" deleteColumns="0"/>
  <mergeCells count="28">
    <mergeCell ref="I3:K3"/>
    <mergeCell ref="R63:S63"/>
    <mergeCell ref="D8:E9"/>
    <mergeCell ref="L3:N3"/>
    <mergeCell ref="D5:G5"/>
    <mergeCell ref="I5:L5"/>
    <mergeCell ref="P7:Q8"/>
    <mergeCell ref="N7:O8"/>
    <mergeCell ref="R7:S8"/>
    <mergeCell ref="L7:M8"/>
    <mergeCell ref="H7:I8"/>
    <mergeCell ref="J7:K8"/>
    <mergeCell ref="E57:F57"/>
    <mergeCell ref="D63:E63"/>
    <mergeCell ref="D64:E64"/>
    <mergeCell ref="D65:E65"/>
    <mergeCell ref="A13:A40"/>
    <mergeCell ref="R62:S62"/>
    <mergeCell ref="R64:S64"/>
    <mergeCell ref="R65:S65"/>
    <mergeCell ref="H41:I41"/>
    <mergeCell ref="H57:I57"/>
    <mergeCell ref="H61:I61"/>
    <mergeCell ref="J61:K61"/>
    <mergeCell ref="L61:M61"/>
    <mergeCell ref="N61:O61"/>
    <mergeCell ref="P61:Q61"/>
    <mergeCell ref="H25:I25"/>
  </mergeCells>
  <phoneticPr fontId="62" type="noConversion"/>
  <pageMargins left="0.7" right="0.7" top="0.75" bottom="0.75" header="0.3" footer="0.3"/>
  <pageSetup scale="60" orientation="landscape" horizontalDpi="4294967293" verticalDpi="300" r:id="rId1"/>
  <headerFooter>
    <oddFooter>&amp;R_x000D_&amp;1#&amp;"Calibri"&amp;22&amp;KFF8939 RESTRICTED</oddFooter>
  </headerFooter>
  <ignoredErrors>
    <ignoredError sqref="J25:M25 K26:M26 L22:L24 J11:J19 J20:J24 L11:L18 J28:L33 J35:L40 J43:J47 J49:J50 J52 N15 N14 N16:N24 J54:J56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E167"/>
  <sheetViews>
    <sheetView showGridLines="0" showRowColHeaders="0" zoomScaleNormal="100" workbookViewId="0">
      <pane xSplit="6" ySplit="3" topLeftCell="G116" activePane="bottomRight" state="frozen"/>
      <selection pane="topRight" activeCell="G1" sqref="G1"/>
      <selection pane="bottomLeft" activeCell="A4" sqref="A4"/>
      <selection pane="bottomRight" activeCell="B170" sqref="B170"/>
    </sheetView>
  </sheetViews>
  <sheetFormatPr defaultColWidth="17.28515625" defaultRowHeight="15" x14ac:dyDescent="0.25"/>
  <cols>
    <col min="1" max="1" width="23" style="26" customWidth="1"/>
    <col min="2" max="2" width="52.42578125" style="26" customWidth="1"/>
    <col min="3" max="3" width="11" style="26" customWidth="1"/>
    <col min="4" max="4" width="9.85546875" style="26" customWidth="1"/>
    <col min="5" max="6" width="11.85546875" style="26" customWidth="1"/>
    <col min="7" max="7" width="16.42578125" style="26" customWidth="1"/>
    <col min="8" max="8" width="10.140625" style="26" customWidth="1"/>
    <col min="9" max="9" width="19.42578125" style="26" customWidth="1"/>
    <col min="10" max="10" width="14" style="26" customWidth="1"/>
    <col min="11" max="11" width="6.140625" style="26" hidden="1" customWidth="1"/>
    <col min="12" max="12" width="15.28515625" style="26" customWidth="1"/>
    <col min="13" max="13" width="20.42578125" style="26" customWidth="1"/>
    <col min="14" max="14" width="17.85546875" style="26" customWidth="1"/>
    <col min="15" max="15" width="20.140625" style="26" customWidth="1"/>
    <col min="16" max="16" width="11.5703125" style="26" customWidth="1"/>
    <col min="17" max="21" width="17.28515625" style="26"/>
    <col min="22" max="22" width="8.85546875" style="26" customWidth="1"/>
    <col min="23" max="23" width="34.42578125" style="26" customWidth="1"/>
    <col min="24" max="24" width="9.140625" style="26" customWidth="1"/>
    <col min="25" max="25" width="33.42578125" style="26" customWidth="1"/>
    <col min="26" max="26" width="15.42578125" style="26" customWidth="1"/>
    <col min="27" max="27" width="19.140625" style="148" customWidth="1"/>
    <col min="28" max="28" width="12.7109375" style="26" customWidth="1"/>
    <col min="29" max="29" width="31.7109375" style="26" customWidth="1"/>
    <col min="30" max="30" width="37" style="26" customWidth="1"/>
    <col min="31" max="16384" width="17.28515625" style="26"/>
  </cols>
  <sheetData>
    <row r="1" spans="1:31" ht="24.75" customHeight="1" x14ac:dyDescent="0.25">
      <c r="A1" s="249" t="s">
        <v>57</v>
      </c>
      <c r="B1" s="249" t="s">
        <v>58</v>
      </c>
      <c r="C1" s="253" t="s">
        <v>53</v>
      </c>
      <c r="D1" s="255" t="s">
        <v>59</v>
      </c>
      <c r="E1" s="258" t="s">
        <v>3</v>
      </c>
      <c r="F1" s="253" t="s">
        <v>60</v>
      </c>
      <c r="G1" s="931" t="s">
        <v>187</v>
      </c>
      <c r="H1" s="933" t="s">
        <v>188</v>
      </c>
      <c r="I1" s="63" t="s">
        <v>166</v>
      </c>
      <c r="J1" s="935" t="s">
        <v>169</v>
      </c>
      <c r="K1" s="19" t="s">
        <v>64</v>
      </c>
      <c r="L1" s="20" t="s">
        <v>62</v>
      </c>
      <c r="M1" s="66" t="s">
        <v>63</v>
      </c>
      <c r="N1" s="21" t="s">
        <v>61</v>
      </c>
      <c r="O1" s="22" t="s">
        <v>64</v>
      </c>
      <c r="P1" s="23" t="s">
        <v>65</v>
      </c>
      <c r="Q1" s="222" t="s">
        <v>102</v>
      </c>
      <c r="R1" s="222" t="s">
        <v>103</v>
      </c>
      <c r="S1" s="222" t="s">
        <v>102</v>
      </c>
      <c r="T1" s="25" t="s">
        <v>103</v>
      </c>
      <c r="U1" s="25" t="s">
        <v>102</v>
      </c>
      <c r="V1" s="25" t="s">
        <v>148</v>
      </c>
      <c r="W1" s="24" t="s">
        <v>150</v>
      </c>
      <c r="X1" s="24" t="s">
        <v>152</v>
      </c>
      <c r="Y1" s="26" t="s">
        <v>179</v>
      </c>
      <c r="Z1" s="26" t="s">
        <v>196</v>
      </c>
      <c r="AA1" s="148" t="s">
        <v>242</v>
      </c>
      <c r="AB1" s="810" t="s">
        <v>241</v>
      </c>
      <c r="AC1" s="26" t="s">
        <v>317</v>
      </c>
      <c r="AD1" s="26" t="s">
        <v>318</v>
      </c>
      <c r="AE1" s="26" t="s">
        <v>319</v>
      </c>
    </row>
    <row r="2" spans="1:31" ht="24.75" customHeight="1" thickBot="1" x14ac:dyDescent="0.3">
      <c r="A2" s="250" t="s">
        <v>163</v>
      </c>
      <c r="B2" s="250"/>
      <c r="C2" s="250"/>
      <c r="D2" s="256" t="s">
        <v>164</v>
      </c>
      <c r="E2" s="259" t="s">
        <v>468</v>
      </c>
      <c r="F2" s="256" t="s">
        <v>66</v>
      </c>
      <c r="G2" s="932"/>
      <c r="H2" s="934"/>
      <c r="I2" s="65" t="s">
        <v>167</v>
      </c>
      <c r="J2" s="936"/>
      <c r="K2" s="27" t="s">
        <v>68</v>
      </c>
      <c r="L2" s="28" t="s">
        <v>67</v>
      </c>
      <c r="M2" s="67" t="s">
        <v>168</v>
      </c>
      <c r="N2" s="29" t="s">
        <v>67</v>
      </c>
      <c r="O2" s="30" t="s">
        <v>69</v>
      </c>
      <c r="P2" s="31" t="s">
        <v>70</v>
      </c>
      <c r="Q2" s="222" t="s">
        <v>101</v>
      </c>
      <c r="R2" s="222" t="s">
        <v>327</v>
      </c>
      <c r="S2" s="222" t="s">
        <v>104</v>
      </c>
      <c r="T2" s="32" t="s">
        <v>328</v>
      </c>
      <c r="U2" s="32" t="s">
        <v>329</v>
      </c>
      <c r="V2" s="32" t="s">
        <v>149</v>
      </c>
      <c r="W2" s="33"/>
      <c r="X2" s="33"/>
      <c r="AB2" s="937"/>
    </row>
    <row r="3" spans="1:31" ht="15.75" thickBot="1" x14ac:dyDescent="0.3">
      <c r="A3" s="248" t="str">
        <f>IF(B$3 =1, "Units", "Acres")</f>
        <v>Acres</v>
      </c>
      <c r="B3" s="251">
        <v>0</v>
      </c>
      <c r="C3" s="252"/>
      <c r="D3" s="254" t="s">
        <v>71</v>
      </c>
      <c r="E3" s="257"/>
      <c r="F3" s="260"/>
      <c r="G3" s="261" t="str">
        <f>IF(B$3 =1, "Acres", "Units")</f>
        <v>Units</v>
      </c>
      <c r="H3" s="64" t="str">
        <f>+A3</f>
        <v>Acres</v>
      </c>
      <c r="I3" s="66" t="s">
        <v>72</v>
      </c>
      <c r="J3" s="64" t="s">
        <v>1</v>
      </c>
      <c r="K3" s="64" t="s">
        <v>73</v>
      </c>
      <c r="L3" s="64" t="s">
        <v>2</v>
      </c>
      <c r="M3" s="76" t="s">
        <v>72</v>
      </c>
      <c r="N3" s="64" t="s">
        <v>1</v>
      </c>
      <c r="O3" s="77"/>
      <c r="P3" s="31"/>
      <c r="Q3" s="223"/>
      <c r="R3" s="218"/>
      <c r="S3" s="218"/>
      <c r="T3" s="34"/>
      <c r="U3" s="34"/>
      <c r="V3" s="34"/>
      <c r="W3" s="33"/>
      <c r="X3" s="33"/>
    </row>
    <row r="4" spans="1:31" s="37" customFormat="1" ht="14.25" x14ac:dyDescent="0.2">
      <c r="A4" s="204" t="s">
        <v>107</v>
      </c>
      <c r="B4" s="205" t="s">
        <v>246</v>
      </c>
      <c r="C4" s="280">
        <v>2.9</v>
      </c>
      <c r="D4" s="208" t="s">
        <v>76</v>
      </c>
      <c r="E4" s="262">
        <v>0</v>
      </c>
      <c r="F4" s="206">
        <v>0.26419999999999999</v>
      </c>
      <c r="G4" s="202">
        <f>IF(B$3 =1, H4*C4, H4/C4)</f>
        <v>0</v>
      </c>
      <c r="H4" s="107">
        <v>0</v>
      </c>
      <c r="I4" s="110">
        <f>IF(B$3 = 1, H4*E4, (H4/C4) *E4)</f>
        <v>0</v>
      </c>
      <c r="J4" s="108">
        <f>IF($B$3 =1, H4*F4, (H4/C4) *F4)</f>
        <v>0</v>
      </c>
      <c r="K4" s="78"/>
      <c r="L4" s="62"/>
      <c r="M4" s="80"/>
      <c r="N4" s="61"/>
      <c r="O4" s="74"/>
      <c r="Q4" s="224"/>
      <c r="R4" s="204"/>
      <c r="S4" s="204"/>
      <c r="T4" s="35"/>
      <c r="U4" s="35"/>
      <c r="V4" s="35"/>
      <c r="W4" s="36" t="s">
        <v>483</v>
      </c>
      <c r="X4" s="36" t="s">
        <v>153</v>
      </c>
      <c r="Z4" s="37" t="s">
        <v>197</v>
      </c>
      <c r="AA4" s="148" t="s">
        <v>199</v>
      </c>
    </row>
    <row r="5" spans="1:31" s="37" customFormat="1" ht="14.25" x14ac:dyDescent="0.2">
      <c r="A5" s="204" t="s">
        <v>107</v>
      </c>
      <c r="B5" s="207" t="s">
        <v>248</v>
      </c>
      <c r="C5" s="281">
        <v>11</v>
      </c>
      <c r="D5" s="208" t="s">
        <v>75</v>
      </c>
      <c r="E5" s="684">
        <v>376.75</v>
      </c>
      <c r="F5" s="208">
        <v>1</v>
      </c>
      <c r="G5" s="202">
        <f>IF(B$3 =1, H5*C5, H5/C5)</f>
        <v>0</v>
      </c>
      <c r="H5" s="107">
        <f>+Purchases!C20</f>
        <v>0</v>
      </c>
      <c r="I5" s="110">
        <f>IF(B$3 = 1, H5*E5, (H5/C5) *E5)</f>
        <v>0</v>
      </c>
      <c r="J5" s="108">
        <f>IF($B$3 =1, H5*F5, (H5/C5) *F5)</f>
        <v>0</v>
      </c>
      <c r="K5" s="78"/>
      <c r="L5" s="62">
        <f>IF( $B$3 = 1,  SUM(G4:G5), SUM(H4:H5) )</f>
        <v>0</v>
      </c>
      <c r="M5" s="80">
        <f>SUM(I4:I5)</f>
        <v>0</v>
      </c>
      <c r="N5" s="61">
        <f>SUM(J4:J5)</f>
        <v>0</v>
      </c>
      <c r="O5" s="74" t="str">
        <f>+A5</f>
        <v>ADMIRE</v>
      </c>
      <c r="P5" s="285">
        <v>45597</v>
      </c>
      <c r="Q5" s="224"/>
      <c r="R5" s="204"/>
      <c r="S5" s="204"/>
      <c r="T5" s="35"/>
      <c r="U5" s="35"/>
      <c r="V5" s="35"/>
      <c r="W5" s="36"/>
      <c r="X5" s="36" t="s">
        <v>153</v>
      </c>
      <c r="Z5" s="37" t="s">
        <v>197</v>
      </c>
      <c r="AA5" s="148" t="s">
        <v>186</v>
      </c>
    </row>
    <row r="6" spans="1:31" s="37" customFormat="1" ht="14.25" x14ac:dyDescent="0.2">
      <c r="A6" s="204" t="s">
        <v>108</v>
      </c>
      <c r="B6" s="209" t="s">
        <v>144</v>
      </c>
      <c r="C6" s="208">
        <v>1</v>
      </c>
      <c r="D6" s="208" t="s">
        <v>75</v>
      </c>
      <c r="E6" s="684">
        <v>100</v>
      </c>
      <c r="F6" s="208">
        <v>1</v>
      </c>
      <c r="G6" s="203">
        <v>0</v>
      </c>
      <c r="H6" s="107">
        <v>0</v>
      </c>
      <c r="I6" s="110">
        <f>+E6*H6</f>
        <v>0</v>
      </c>
      <c r="J6" s="109">
        <f>+F6*H6</f>
        <v>0</v>
      </c>
      <c r="K6" s="69"/>
      <c r="L6" s="62">
        <f>+G6</f>
        <v>0</v>
      </c>
      <c r="M6" s="80">
        <f>+I6</f>
        <v>0</v>
      </c>
      <c r="N6" s="61">
        <f>+J6</f>
        <v>0</v>
      </c>
      <c r="O6" s="74" t="str">
        <f>+A6</f>
        <v>ALIETTE</v>
      </c>
      <c r="P6" s="285">
        <v>45597</v>
      </c>
      <c r="Q6" s="224"/>
      <c r="R6" s="204"/>
      <c r="S6" s="204"/>
      <c r="T6" s="35"/>
      <c r="U6" s="35"/>
      <c r="V6" s="35"/>
      <c r="W6" s="36" t="s">
        <v>483</v>
      </c>
      <c r="X6" s="36" t="s">
        <v>153</v>
      </c>
      <c r="Z6" s="37" t="s">
        <v>54</v>
      </c>
      <c r="AA6" s="148" t="s">
        <v>200</v>
      </c>
    </row>
    <row r="7" spans="1:31" s="37" customFormat="1" ht="14.25" x14ac:dyDescent="0.2">
      <c r="A7" s="204" t="s">
        <v>109</v>
      </c>
      <c r="B7" s="209" t="s">
        <v>143</v>
      </c>
      <c r="C7" s="208">
        <v>1</v>
      </c>
      <c r="D7" s="208" t="s">
        <v>75</v>
      </c>
      <c r="E7" s="262"/>
      <c r="F7" s="208">
        <v>1</v>
      </c>
      <c r="G7" s="203">
        <v>0</v>
      </c>
      <c r="H7" s="107">
        <v>0</v>
      </c>
      <c r="I7" s="110">
        <f>+E7*H7</f>
        <v>0</v>
      </c>
      <c r="J7" s="109">
        <f>+F7*H7</f>
        <v>0</v>
      </c>
      <c r="K7" s="69"/>
      <c r="L7" s="62">
        <f>+G7</f>
        <v>0</v>
      </c>
      <c r="M7" s="80">
        <f>+I7</f>
        <v>0</v>
      </c>
      <c r="N7" s="61">
        <f>+J7</f>
        <v>0</v>
      </c>
      <c r="O7" s="74" t="str">
        <f>+A7</f>
        <v>BETAMIX B</v>
      </c>
      <c r="P7" s="285">
        <v>45222</v>
      </c>
      <c r="Q7" s="224"/>
      <c r="R7" s="204"/>
      <c r="S7" s="204"/>
      <c r="T7" s="35"/>
      <c r="U7" s="35"/>
      <c r="V7" s="35"/>
      <c r="W7" s="36" t="s">
        <v>483</v>
      </c>
      <c r="X7" s="36" t="s">
        <v>153</v>
      </c>
      <c r="Z7" s="37" t="s">
        <v>54</v>
      </c>
      <c r="AA7" s="148" t="s">
        <v>34</v>
      </c>
    </row>
    <row r="8" spans="1:31" x14ac:dyDescent="0.25">
      <c r="A8" s="210" t="s">
        <v>74</v>
      </c>
      <c r="B8" s="211" t="s">
        <v>275</v>
      </c>
      <c r="C8" s="216">
        <v>20</v>
      </c>
      <c r="D8" s="208" t="s">
        <v>75</v>
      </c>
      <c r="E8" s="684">
        <v>180.5</v>
      </c>
      <c r="F8" s="208">
        <v>1</v>
      </c>
      <c r="G8" s="203">
        <f>IF(B$3 =1, H8*C8, H8/C8)</f>
        <v>0</v>
      </c>
      <c r="H8" s="60">
        <f>+Purchases!C31</f>
        <v>0</v>
      </c>
      <c r="I8" s="284">
        <f>IF(B$3 = 1, H8*E8, (H8/C8) *E8)</f>
        <v>0</v>
      </c>
      <c r="J8" s="68">
        <f>IF($B$3 =1, H8*F8, (H8/C8) *F8)</f>
        <v>0</v>
      </c>
      <c r="K8" s="70"/>
      <c r="L8" s="62" t="s">
        <v>121</v>
      </c>
      <c r="M8" s="80" t="s">
        <v>121</v>
      </c>
      <c r="N8" s="61" t="s">
        <v>121</v>
      </c>
      <c r="O8" s="74" t="s">
        <v>121</v>
      </c>
      <c r="P8" s="285">
        <v>45597</v>
      </c>
      <c r="Q8" s="218"/>
      <c r="R8" s="218"/>
      <c r="S8" s="218"/>
      <c r="T8" s="35"/>
      <c r="U8" s="35"/>
      <c r="V8" s="38"/>
      <c r="W8" s="39"/>
      <c r="X8" s="36" t="s">
        <v>153</v>
      </c>
      <c r="Z8" s="37" t="s">
        <v>54</v>
      </c>
      <c r="AA8" s="148" t="s">
        <v>15</v>
      </c>
    </row>
    <row r="9" spans="1:31" x14ac:dyDescent="0.25">
      <c r="A9" s="210" t="s">
        <v>74</v>
      </c>
      <c r="B9" s="211" t="s">
        <v>274</v>
      </c>
      <c r="C9" s="216">
        <v>320</v>
      </c>
      <c r="D9" s="208" t="s">
        <v>76</v>
      </c>
      <c r="E9" s="684">
        <v>2888</v>
      </c>
      <c r="F9" s="208">
        <v>16</v>
      </c>
      <c r="G9" s="203">
        <f t="shared" ref="G9:G50" si="0">IF(B$3 =1, H9*C9, H9/C9)</f>
        <v>0</v>
      </c>
      <c r="H9" s="60">
        <f>+Purchases!C32</f>
        <v>0</v>
      </c>
      <c r="I9" s="79">
        <f t="shared" ref="I9:I50" si="1">IF(B$3 = 1, H9*E9, (H9/C9) *E9)</f>
        <v>0</v>
      </c>
      <c r="J9" s="68">
        <f>IF($B$3 =1, H9*F9, (H9/C9) *F9)</f>
        <v>0</v>
      </c>
      <c r="K9" s="70"/>
      <c r="L9" s="62"/>
      <c r="M9" s="80"/>
      <c r="N9" s="61"/>
      <c r="O9" s="74"/>
      <c r="P9" s="285">
        <v>45597</v>
      </c>
      <c r="Q9" s="218"/>
      <c r="R9" s="218"/>
      <c r="S9" s="218"/>
      <c r="T9" s="35"/>
      <c r="U9" s="35"/>
      <c r="V9" s="38"/>
      <c r="W9" s="39"/>
      <c r="X9" s="36" t="s">
        <v>153</v>
      </c>
      <c r="Z9" s="37" t="s">
        <v>54</v>
      </c>
      <c r="AA9" s="148" t="s">
        <v>201</v>
      </c>
    </row>
    <row r="10" spans="1:31" x14ac:dyDescent="0.25">
      <c r="A10" s="210" t="s">
        <v>74</v>
      </c>
      <c r="B10" s="211" t="s">
        <v>276</v>
      </c>
      <c r="C10" s="216">
        <v>1000</v>
      </c>
      <c r="D10" s="208" t="s">
        <v>76</v>
      </c>
      <c r="E10" s="684">
        <v>9025</v>
      </c>
      <c r="F10" s="208">
        <v>50</v>
      </c>
      <c r="G10" s="203">
        <f t="shared" si="0"/>
        <v>0</v>
      </c>
      <c r="H10" s="60">
        <f>+Purchases!C33</f>
        <v>0</v>
      </c>
      <c r="I10" s="79">
        <f t="shared" si="1"/>
        <v>0</v>
      </c>
      <c r="J10" s="68">
        <f>IF($B$3 =1, H10*F10, (H10/C10) *F10)</f>
        <v>0</v>
      </c>
      <c r="K10" s="70"/>
      <c r="L10" s="62">
        <f>IF( $B$3 = 1,  SUM(G8:G10), SUM(H8:H10) )</f>
        <v>0</v>
      </c>
      <c r="M10" s="80">
        <f>SUM(I8:I10)</f>
        <v>0</v>
      </c>
      <c r="N10" s="61">
        <f>SUM(J8:J10)</f>
        <v>0</v>
      </c>
      <c r="O10" s="74" t="s">
        <v>74</v>
      </c>
      <c r="P10" s="285">
        <v>45597</v>
      </c>
      <c r="Q10" s="218"/>
      <c r="R10" s="218"/>
      <c r="S10" s="218"/>
      <c r="T10" s="35"/>
      <c r="U10" s="35"/>
      <c r="V10" s="38"/>
      <c r="W10" s="39"/>
      <c r="X10" s="36" t="s">
        <v>153</v>
      </c>
      <c r="Z10" s="37" t="s">
        <v>54</v>
      </c>
      <c r="AA10" s="148" t="s">
        <v>202</v>
      </c>
    </row>
    <row r="11" spans="1:31" x14ac:dyDescent="0.25">
      <c r="A11" s="70" t="s">
        <v>77</v>
      </c>
      <c r="B11" s="213" t="s">
        <v>4</v>
      </c>
      <c r="C11" s="70">
        <v>20</v>
      </c>
      <c r="D11" s="208" t="s">
        <v>75</v>
      </c>
      <c r="E11" s="262">
        <v>302</v>
      </c>
      <c r="F11" s="70">
        <v>1</v>
      </c>
      <c r="G11" s="203">
        <v>0</v>
      </c>
      <c r="H11" s="60">
        <v>0</v>
      </c>
      <c r="I11" s="79">
        <f>+E11*H11</f>
        <v>0</v>
      </c>
      <c r="J11" s="68">
        <f>+F11*H11</f>
        <v>0</v>
      </c>
      <c r="K11" s="70"/>
      <c r="L11" s="62">
        <f>+G11</f>
        <v>0</v>
      </c>
      <c r="M11" s="80">
        <f>+I11</f>
        <v>0</v>
      </c>
      <c r="N11" s="61">
        <f>+J11</f>
        <v>0</v>
      </c>
      <c r="O11" s="74" t="str">
        <f>+A11</f>
        <v>CONCEPT</v>
      </c>
      <c r="P11" s="285">
        <v>45222</v>
      </c>
      <c r="Q11" s="218"/>
      <c r="R11" s="218"/>
      <c r="S11" s="218"/>
      <c r="T11" s="35"/>
      <c r="U11" s="35"/>
      <c r="V11" s="38"/>
      <c r="W11" s="36" t="s">
        <v>483</v>
      </c>
      <c r="X11" s="36" t="s">
        <v>153</v>
      </c>
      <c r="Z11" s="37" t="s">
        <v>197</v>
      </c>
      <c r="AA11" s="148" t="s">
        <v>203</v>
      </c>
    </row>
    <row r="12" spans="1:31" x14ac:dyDescent="0.25">
      <c r="A12" s="210" t="s">
        <v>78</v>
      </c>
      <c r="B12" s="211" t="s">
        <v>277</v>
      </c>
      <c r="C12" s="216">
        <v>20</v>
      </c>
      <c r="D12" s="70" t="s">
        <v>75</v>
      </c>
      <c r="E12" s="684">
        <v>506</v>
      </c>
      <c r="F12" s="208">
        <v>1</v>
      </c>
      <c r="G12" s="203">
        <f t="shared" si="0"/>
        <v>0</v>
      </c>
      <c r="H12" s="60">
        <f>+Purchases!C57</f>
        <v>0</v>
      </c>
      <c r="I12" s="284">
        <f t="shared" si="1"/>
        <v>0</v>
      </c>
      <c r="J12" s="68">
        <f t="shared" ref="J12:J50" si="2">IF($B$3 =1, H12*F12, (H12/C12) *F12)</f>
        <v>0</v>
      </c>
      <c r="K12" s="70"/>
      <c r="L12" s="62"/>
      <c r="M12" s="80"/>
      <c r="N12" s="61"/>
      <c r="O12" s="74"/>
      <c r="P12" s="285">
        <v>45597</v>
      </c>
      <c r="Q12" s="218"/>
      <c r="R12" s="218"/>
      <c r="S12" s="218"/>
      <c r="T12" s="35"/>
      <c r="U12" s="35"/>
      <c r="V12" s="38"/>
      <c r="W12" s="39"/>
      <c r="X12" s="36" t="s">
        <v>153</v>
      </c>
      <c r="Z12" s="37" t="s">
        <v>55</v>
      </c>
      <c r="AA12" s="148" t="s">
        <v>16</v>
      </c>
    </row>
    <row r="13" spans="1:31" x14ac:dyDescent="0.25">
      <c r="A13" s="210" t="s">
        <v>78</v>
      </c>
      <c r="B13" s="211" t="s">
        <v>249</v>
      </c>
      <c r="C13" s="216">
        <v>320</v>
      </c>
      <c r="D13" s="208" t="s">
        <v>76</v>
      </c>
      <c r="E13" s="684">
        <v>8096</v>
      </c>
      <c r="F13" s="208">
        <v>16</v>
      </c>
      <c r="G13" s="203">
        <f t="shared" si="0"/>
        <v>0</v>
      </c>
      <c r="H13" s="60">
        <f>+Purchases!C58</f>
        <v>0</v>
      </c>
      <c r="I13" s="79">
        <f t="shared" si="1"/>
        <v>0</v>
      </c>
      <c r="J13" s="68">
        <f t="shared" si="2"/>
        <v>0</v>
      </c>
      <c r="K13" s="70"/>
      <c r="L13" s="62">
        <f>IF( $B$3 = 1,  SUM(G12:G13), SUM(H12:H13) )</f>
        <v>0</v>
      </c>
      <c r="M13" s="80">
        <f>SUM(I12:I13)</f>
        <v>0</v>
      </c>
      <c r="N13" s="61">
        <f>SUM(J12:J13)</f>
        <v>0</v>
      </c>
      <c r="O13" s="74" t="str">
        <f>+A13</f>
        <v>DELARO</v>
      </c>
      <c r="P13" s="285">
        <v>45597</v>
      </c>
      <c r="Q13" s="218"/>
      <c r="R13" s="218"/>
      <c r="S13" s="218"/>
      <c r="T13" s="35"/>
      <c r="U13" s="35"/>
      <c r="V13" s="38"/>
      <c r="W13" s="39"/>
      <c r="X13" s="36" t="s">
        <v>153</v>
      </c>
      <c r="Z13" s="37" t="s">
        <v>55</v>
      </c>
      <c r="AA13" s="148" t="s">
        <v>204</v>
      </c>
    </row>
    <row r="14" spans="1:31" x14ac:dyDescent="0.25">
      <c r="A14" s="70" t="s">
        <v>110</v>
      </c>
      <c r="B14" s="211" t="s">
        <v>250</v>
      </c>
      <c r="C14" s="216">
        <v>22</v>
      </c>
      <c r="D14" s="208" t="s">
        <v>75</v>
      </c>
      <c r="E14" s="684">
        <v>1217</v>
      </c>
      <c r="F14" s="208">
        <v>1</v>
      </c>
      <c r="G14" s="203">
        <f t="shared" si="0"/>
        <v>0</v>
      </c>
      <c r="H14" s="60">
        <f>+Purchases!C22</f>
        <v>0</v>
      </c>
      <c r="I14" s="79">
        <f t="shared" si="1"/>
        <v>0</v>
      </c>
      <c r="J14" s="68">
        <f t="shared" si="2"/>
        <v>0</v>
      </c>
      <c r="K14" s="70"/>
      <c r="L14" s="62">
        <f>IF( $B$3 = 1,  G14,H14 )</f>
        <v>0</v>
      </c>
      <c r="M14" s="80">
        <f t="shared" ref="M14:N16" si="3">+I14</f>
        <v>0</v>
      </c>
      <c r="N14" s="61">
        <f t="shared" si="3"/>
        <v>0</v>
      </c>
      <c r="O14" s="74" t="str">
        <f>+A14</f>
        <v>EMESTO SILVER</v>
      </c>
      <c r="P14" s="285">
        <v>45597</v>
      </c>
      <c r="Q14" s="218"/>
      <c r="R14" s="218"/>
      <c r="S14" s="218"/>
      <c r="T14" s="35"/>
      <c r="U14" s="35"/>
      <c r="V14" s="38"/>
      <c r="W14" s="39"/>
      <c r="X14" s="36" t="s">
        <v>153</v>
      </c>
      <c r="Z14" s="37" t="s">
        <v>56</v>
      </c>
      <c r="AA14" s="148" t="s">
        <v>205</v>
      </c>
    </row>
    <row r="15" spans="1:31" x14ac:dyDescent="0.25">
      <c r="A15" s="210" t="s">
        <v>79</v>
      </c>
      <c r="B15" s="211" t="s">
        <v>251</v>
      </c>
      <c r="C15" s="216">
        <v>1696</v>
      </c>
      <c r="D15" s="208" t="s">
        <v>75</v>
      </c>
      <c r="E15" s="684">
        <v>12598</v>
      </c>
      <c r="F15" s="70">
        <v>1</v>
      </c>
      <c r="G15" s="203">
        <f t="shared" si="0"/>
        <v>0</v>
      </c>
      <c r="H15" s="60">
        <f>+Purchases!C23</f>
        <v>0</v>
      </c>
      <c r="I15" s="79">
        <f t="shared" si="1"/>
        <v>0</v>
      </c>
      <c r="J15" s="68">
        <f t="shared" si="2"/>
        <v>0</v>
      </c>
      <c r="K15" s="70"/>
      <c r="L15" s="62">
        <f>IF( $B$3 = 1,  G15,H15 )</f>
        <v>0</v>
      </c>
      <c r="M15" s="80">
        <f t="shared" si="3"/>
        <v>0</v>
      </c>
      <c r="N15" s="61">
        <f t="shared" si="3"/>
        <v>0</v>
      </c>
      <c r="O15" s="74" t="str">
        <f>+A15</f>
        <v>EVERGOL ENERGY</v>
      </c>
      <c r="P15" s="285">
        <v>45597</v>
      </c>
      <c r="Q15" s="218"/>
      <c r="R15" s="218"/>
      <c r="S15" s="218"/>
      <c r="T15" s="35"/>
      <c r="U15" s="35"/>
      <c r="V15" s="38"/>
      <c r="W15" s="39"/>
      <c r="X15" s="36" t="s">
        <v>153</v>
      </c>
      <c r="Z15" s="37" t="s">
        <v>56</v>
      </c>
      <c r="AA15" s="148" t="s">
        <v>19</v>
      </c>
    </row>
    <row r="16" spans="1:31" x14ac:dyDescent="0.25">
      <c r="A16" s="210" t="s">
        <v>80</v>
      </c>
      <c r="B16" s="213" t="s">
        <v>252</v>
      </c>
      <c r="C16" s="70">
        <v>40</v>
      </c>
      <c r="D16" s="208" t="s">
        <v>75</v>
      </c>
      <c r="E16" s="262">
        <v>0</v>
      </c>
      <c r="F16" s="208">
        <v>1</v>
      </c>
      <c r="G16" s="203">
        <f t="shared" si="0"/>
        <v>0</v>
      </c>
      <c r="H16" s="60">
        <v>0</v>
      </c>
      <c r="I16" s="79">
        <f t="shared" si="1"/>
        <v>0</v>
      </c>
      <c r="J16" s="68">
        <f t="shared" si="2"/>
        <v>0</v>
      </c>
      <c r="K16" s="70"/>
      <c r="L16" s="62">
        <f>IF( $B$3 = 1,  G16,H16 )</f>
        <v>0</v>
      </c>
      <c r="M16" s="80">
        <f t="shared" si="3"/>
        <v>0</v>
      </c>
      <c r="N16" s="61">
        <f t="shared" si="3"/>
        <v>0</v>
      </c>
      <c r="O16" s="75" t="str">
        <f>+A16</f>
        <v>FOLICUR EW</v>
      </c>
      <c r="P16" s="285">
        <v>45222</v>
      </c>
      <c r="Q16" s="218"/>
      <c r="R16" s="218"/>
      <c r="S16" s="218"/>
      <c r="T16" s="35"/>
      <c r="U16" s="35"/>
      <c r="V16" s="38"/>
      <c r="W16" s="36" t="s">
        <v>483</v>
      </c>
      <c r="X16" s="36" t="s">
        <v>153</v>
      </c>
      <c r="Z16" s="37" t="s">
        <v>55</v>
      </c>
      <c r="AA16" s="148" t="s">
        <v>22</v>
      </c>
    </row>
    <row r="17" spans="1:28" x14ac:dyDescent="0.25">
      <c r="A17" s="210" t="s">
        <v>81</v>
      </c>
      <c r="B17" s="211" t="s">
        <v>310</v>
      </c>
      <c r="C17" s="216">
        <v>20</v>
      </c>
      <c r="D17" s="208" t="s">
        <v>75</v>
      </c>
      <c r="E17" s="684">
        <v>239.25</v>
      </c>
      <c r="F17" s="208">
        <v>1</v>
      </c>
      <c r="G17" s="203">
        <f t="shared" si="0"/>
        <v>0</v>
      </c>
      <c r="H17" s="60">
        <f>+Purchases!C39</f>
        <v>0</v>
      </c>
      <c r="I17" s="79">
        <f t="shared" si="1"/>
        <v>0</v>
      </c>
      <c r="J17" s="68">
        <f t="shared" si="2"/>
        <v>0</v>
      </c>
      <c r="K17" s="70"/>
      <c r="L17" s="62"/>
      <c r="M17" s="80"/>
      <c r="N17" s="61"/>
      <c r="O17" s="74"/>
      <c r="P17" s="285">
        <v>45597</v>
      </c>
      <c r="Q17" s="218"/>
      <c r="R17" s="218"/>
      <c r="S17" s="218"/>
      <c r="T17" s="35"/>
      <c r="U17" s="35"/>
      <c r="V17" s="38"/>
      <c r="W17" s="39"/>
      <c r="X17" s="36" t="s">
        <v>153</v>
      </c>
      <c r="Z17" s="37" t="s">
        <v>54</v>
      </c>
      <c r="AA17" s="148" t="s">
        <v>24</v>
      </c>
    </row>
    <row r="18" spans="1:28" x14ac:dyDescent="0.25">
      <c r="A18" s="210" t="s">
        <v>81</v>
      </c>
      <c r="B18" s="211" t="s">
        <v>278</v>
      </c>
      <c r="C18" s="216">
        <v>320</v>
      </c>
      <c r="D18" s="208" t="s">
        <v>76</v>
      </c>
      <c r="E18" s="684">
        <v>3828</v>
      </c>
      <c r="F18" s="208">
        <v>16</v>
      </c>
      <c r="G18" s="203">
        <f t="shared" si="0"/>
        <v>0</v>
      </c>
      <c r="H18" s="60">
        <f>+Purchases!C40</f>
        <v>0</v>
      </c>
      <c r="I18" s="79">
        <f t="shared" si="1"/>
        <v>0</v>
      </c>
      <c r="J18" s="68">
        <f t="shared" si="2"/>
        <v>0</v>
      </c>
      <c r="K18" s="70"/>
      <c r="L18" s="62"/>
      <c r="M18" s="80"/>
      <c r="N18" s="61"/>
      <c r="O18" s="74"/>
      <c r="P18" s="285">
        <v>45597</v>
      </c>
      <c r="Q18" s="218"/>
      <c r="R18" s="218"/>
      <c r="S18" s="218"/>
      <c r="T18" s="35"/>
      <c r="U18" s="35"/>
      <c r="V18" s="38"/>
      <c r="W18" s="39"/>
      <c r="X18" s="36" t="s">
        <v>153</v>
      </c>
      <c r="Z18" s="37" t="s">
        <v>54</v>
      </c>
      <c r="AA18" s="148" t="s">
        <v>206</v>
      </c>
    </row>
    <row r="19" spans="1:28" x14ac:dyDescent="0.25">
      <c r="A19" s="210" t="s">
        <v>81</v>
      </c>
      <c r="B19" s="211" t="s">
        <v>279</v>
      </c>
      <c r="C19" s="216">
        <v>1000</v>
      </c>
      <c r="D19" s="208" t="s">
        <v>76</v>
      </c>
      <c r="E19" s="684">
        <v>11962.5</v>
      </c>
      <c r="F19" s="208">
        <v>50</v>
      </c>
      <c r="G19" s="203">
        <f t="shared" si="0"/>
        <v>0</v>
      </c>
      <c r="H19" s="60">
        <f>+Purchases!C41</f>
        <v>0</v>
      </c>
      <c r="I19" s="79">
        <f t="shared" si="1"/>
        <v>0</v>
      </c>
      <c r="J19" s="68">
        <f t="shared" si="2"/>
        <v>0</v>
      </c>
      <c r="K19" s="71"/>
      <c r="L19" s="62">
        <f>IF( $B$3 = 1,  SUM(G17:G19), SUM(H17:H19) )</f>
        <v>0</v>
      </c>
      <c r="M19" s="80">
        <f>SUM(I17:I19)</f>
        <v>0</v>
      </c>
      <c r="N19" s="61">
        <f>SUM(J17:J19)</f>
        <v>0</v>
      </c>
      <c r="O19" s="74" t="str">
        <f>+A19</f>
        <v>INFINITY</v>
      </c>
      <c r="P19" s="285">
        <v>45597</v>
      </c>
      <c r="Q19" s="218"/>
      <c r="R19" s="218"/>
      <c r="S19" s="218"/>
      <c r="T19" s="35"/>
      <c r="U19" s="35"/>
      <c r="V19" s="38"/>
      <c r="W19" s="39"/>
      <c r="X19" s="36" t="s">
        <v>153</v>
      </c>
      <c r="Z19" s="37" t="s">
        <v>54</v>
      </c>
      <c r="AA19" s="148" t="s">
        <v>207</v>
      </c>
    </row>
    <row r="20" spans="1:28" x14ac:dyDescent="0.25">
      <c r="A20" s="210" t="s">
        <v>82</v>
      </c>
      <c r="B20" s="215" t="s">
        <v>247</v>
      </c>
      <c r="C20" s="216">
        <v>40</v>
      </c>
      <c r="D20" s="208" t="s">
        <v>75</v>
      </c>
      <c r="E20" s="262">
        <v>0</v>
      </c>
      <c r="F20" s="208">
        <v>2</v>
      </c>
      <c r="G20" s="203">
        <f t="shared" si="0"/>
        <v>0</v>
      </c>
      <c r="H20" s="60">
        <v>0</v>
      </c>
      <c r="I20" s="79">
        <f t="shared" si="1"/>
        <v>0</v>
      </c>
      <c r="J20" s="68">
        <f t="shared" si="2"/>
        <v>0</v>
      </c>
      <c r="K20" s="72"/>
      <c r="L20" s="62"/>
      <c r="M20" s="80"/>
      <c r="N20" s="61"/>
      <c r="O20" s="74"/>
      <c r="P20" s="285">
        <v>45222</v>
      </c>
      <c r="Q20" s="218"/>
      <c r="R20" s="218"/>
      <c r="S20" s="218"/>
      <c r="T20" s="35"/>
      <c r="U20" s="35"/>
      <c r="V20" s="38"/>
      <c r="W20" s="36" t="s">
        <v>483</v>
      </c>
      <c r="X20" s="36" t="s">
        <v>153</v>
      </c>
      <c r="Z20" s="37" t="s">
        <v>54</v>
      </c>
      <c r="AA20" s="148" t="s">
        <v>208</v>
      </c>
    </row>
    <row r="21" spans="1:28" s="37" customFormat="1" ht="14.25" x14ac:dyDescent="0.2">
      <c r="A21" s="204" t="s">
        <v>82</v>
      </c>
      <c r="B21" s="211" t="s">
        <v>280</v>
      </c>
      <c r="C21" s="216">
        <v>20</v>
      </c>
      <c r="D21" s="208" t="s">
        <v>75</v>
      </c>
      <c r="E21" s="684">
        <v>297.75</v>
      </c>
      <c r="F21" s="208">
        <v>1</v>
      </c>
      <c r="G21" s="203">
        <f t="shared" si="0"/>
        <v>0</v>
      </c>
      <c r="H21" s="60">
        <f>+Purchases!C42</f>
        <v>0</v>
      </c>
      <c r="I21" s="79">
        <f t="shared" si="1"/>
        <v>0</v>
      </c>
      <c r="J21" s="68">
        <f t="shared" si="2"/>
        <v>0</v>
      </c>
      <c r="K21" s="72"/>
      <c r="L21" s="62"/>
      <c r="M21" s="80"/>
      <c r="N21" s="61"/>
      <c r="O21" s="74"/>
      <c r="P21" s="285">
        <v>45597</v>
      </c>
      <c r="Q21" s="204"/>
      <c r="R21" s="204"/>
      <c r="S21" s="204"/>
      <c r="T21" s="35"/>
      <c r="U21" s="35"/>
      <c r="V21" s="35"/>
      <c r="W21" s="36"/>
      <c r="X21" s="36" t="s">
        <v>153</v>
      </c>
      <c r="Z21" s="37" t="s">
        <v>54</v>
      </c>
      <c r="AA21" s="148" t="s">
        <v>22</v>
      </c>
      <c r="AB21" s="37" t="s">
        <v>243</v>
      </c>
    </row>
    <row r="22" spans="1:28" s="37" customFormat="1" ht="14.25" x14ac:dyDescent="0.2">
      <c r="A22" s="204" t="s">
        <v>82</v>
      </c>
      <c r="B22" s="207" t="s">
        <v>282</v>
      </c>
      <c r="C22" s="216">
        <v>1000</v>
      </c>
      <c r="D22" s="208" t="s">
        <v>76</v>
      </c>
      <c r="E22" s="684">
        <v>14887.5</v>
      </c>
      <c r="F22" s="208">
        <v>50</v>
      </c>
      <c r="G22" s="203">
        <f t="shared" si="0"/>
        <v>0</v>
      </c>
      <c r="H22" s="60">
        <f>+Purchases!C44</f>
        <v>0</v>
      </c>
      <c r="I22" s="79">
        <f t="shared" si="1"/>
        <v>0</v>
      </c>
      <c r="J22" s="68">
        <f t="shared" si="2"/>
        <v>0</v>
      </c>
      <c r="K22" s="72"/>
      <c r="L22" s="62"/>
      <c r="M22" s="80"/>
      <c r="N22" s="61"/>
      <c r="O22" s="74"/>
      <c r="P22" s="285">
        <v>45597</v>
      </c>
      <c r="Q22" s="204"/>
      <c r="R22" s="204"/>
      <c r="S22" s="204"/>
      <c r="T22" s="35"/>
      <c r="U22" s="35"/>
      <c r="V22" s="35"/>
      <c r="W22" s="36"/>
      <c r="X22" s="36" t="s">
        <v>153</v>
      </c>
      <c r="Z22" s="37" t="s">
        <v>54</v>
      </c>
      <c r="AA22" s="148" t="s">
        <v>209</v>
      </c>
      <c r="AB22" s="37" t="s">
        <v>244</v>
      </c>
    </row>
    <row r="23" spans="1:28" s="37" customFormat="1" ht="14.25" x14ac:dyDescent="0.2">
      <c r="A23" s="204" t="s">
        <v>82</v>
      </c>
      <c r="B23" s="207" t="s">
        <v>281</v>
      </c>
      <c r="C23" s="216">
        <v>320</v>
      </c>
      <c r="D23" s="208" t="s">
        <v>76</v>
      </c>
      <c r="E23" s="684">
        <v>4764</v>
      </c>
      <c r="F23" s="208">
        <v>16</v>
      </c>
      <c r="G23" s="203">
        <f t="shared" si="0"/>
        <v>0</v>
      </c>
      <c r="H23" s="60">
        <f>+Purchases!C43</f>
        <v>0</v>
      </c>
      <c r="I23" s="79">
        <f t="shared" si="1"/>
        <v>0</v>
      </c>
      <c r="J23" s="68">
        <f t="shared" si="2"/>
        <v>0</v>
      </c>
      <c r="K23" s="72"/>
      <c r="L23" s="62">
        <f>IF( $B$3 = 1,  SUM(G20:G23), SUM(H20:H23) )</f>
        <v>0</v>
      </c>
      <c r="M23" s="80">
        <f>SUM(I20:I23)</f>
        <v>0</v>
      </c>
      <c r="N23" s="61">
        <f>SUM(J20:J23)</f>
        <v>0</v>
      </c>
      <c r="O23" s="74" t="str">
        <f>+A23</f>
        <v>INFINITY FX</v>
      </c>
      <c r="P23" s="285">
        <v>45597</v>
      </c>
      <c r="Q23" s="204"/>
      <c r="R23" s="204"/>
      <c r="S23" s="204"/>
      <c r="T23" s="35"/>
      <c r="U23" s="35"/>
      <c r="V23" s="35"/>
      <c r="W23" s="36"/>
      <c r="X23" s="36" t="s">
        <v>153</v>
      </c>
      <c r="Z23" s="37" t="s">
        <v>54</v>
      </c>
      <c r="AA23" s="148" t="s">
        <v>210</v>
      </c>
      <c r="AB23" s="37" t="s">
        <v>245</v>
      </c>
    </row>
    <row r="24" spans="1:28" s="37" customFormat="1" ht="14.25" x14ac:dyDescent="0.2">
      <c r="A24" s="204" t="s">
        <v>114</v>
      </c>
      <c r="B24" s="207" t="s">
        <v>253</v>
      </c>
      <c r="C24" s="281">
        <v>8</v>
      </c>
      <c r="D24" s="208" t="s">
        <v>75</v>
      </c>
      <c r="E24" s="684">
        <v>234.25</v>
      </c>
      <c r="F24" s="208">
        <v>1</v>
      </c>
      <c r="G24" s="203">
        <f t="shared" si="0"/>
        <v>0</v>
      </c>
      <c r="H24" s="60">
        <f>+Purchases!C61</f>
        <v>0</v>
      </c>
      <c r="I24" s="79">
        <f t="shared" si="1"/>
        <v>0</v>
      </c>
      <c r="J24" s="68">
        <f t="shared" si="2"/>
        <v>0</v>
      </c>
      <c r="K24" s="72"/>
      <c r="L24" s="62">
        <f>IF( $B$3 = 1,  SUM(G24:G25), SUM(H24:H25) )</f>
        <v>0</v>
      </c>
      <c r="M24" s="80">
        <f>+I24+I25</f>
        <v>0</v>
      </c>
      <c r="N24" s="61">
        <f>+J24+J25</f>
        <v>0</v>
      </c>
      <c r="O24" s="73" t="str">
        <f>+A25</f>
        <v>LUNA TRANQUILITY</v>
      </c>
      <c r="P24" s="285">
        <v>45597</v>
      </c>
      <c r="Q24" s="204"/>
      <c r="R24" s="204"/>
      <c r="S24" s="204"/>
      <c r="T24" s="35"/>
      <c r="U24" s="35"/>
      <c r="V24" s="35"/>
      <c r="W24" s="36"/>
      <c r="X24" s="36" t="s">
        <v>153</v>
      </c>
      <c r="Z24" s="37" t="s">
        <v>55</v>
      </c>
      <c r="AA24" s="148" t="s">
        <v>127</v>
      </c>
    </row>
    <row r="25" spans="1:28" s="37" customFormat="1" ht="14.25" x14ac:dyDescent="0.2">
      <c r="A25" s="204" t="s">
        <v>114</v>
      </c>
      <c r="B25" s="207" t="s">
        <v>284</v>
      </c>
      <c r="C25" s="281">
        <v>20</v>
      </c>
      <c r="D25" s="208" t="s">
        <v>76</v>
      </c>
      <c r="E25" s="684">
        <v>569.25</v>
      </c>
      <c r="F25" s="208">
        <v>2.5</v>
      </c>
      <c r="G25" s="203">
        <f t="shared" si="0"/>
        <v>0</v>
      </c>
      <c r="H25" s="60">
        <f>+Purchases!C62</f>
        <v>0</v>
      </c>
      <c r="I25" s="79">
        <f t="shared" si="1"/>
        <v>0</v>
      </c>
      <c r="J25" s="68">
        <f t="shared" si="2"/>
        <v>0</v>
      </c>
      <c r="K25" s="73"/>
      <c r="L25" s="62"/>
      <c r="M25" s="80"/>
      <c r="N25" s="61"/>
      <c r="O25" s="73"/>
      <c r="P25" s="285">
        <v>45597</v>
      </c>
      <c r="Q25" s="204"/>
      <c r="R25" s="204"/>
      <c r="S25" s="204"/>
      <c r="T25" s="35"/>
      <c r="U25" s="35"/>
      <c r="V25" s="35"/>
      <c r="W25" s="36"/>
      <c r="X25" s="36" t="s">
        <v>153</v>
      </c>
      <c r="Z25" s="37" t="s">
        <v>55</v>
      </c>
      <c r="AA25" s="148" t="s">
        <v>138</v>
      </c>
    </row>
    <row r="26" spans="1:28" x14ac:dyDescent="0.25">
      <c r="A26" s="210" t="s">
        <v>83</v>
      </c>
      <c r="B26" s="213" t="s">
        <v>254</v>
      </c>
      <c r="C26" s="208">
        <v>40</v>
      </c>
      <c r="D26" s="208" t="s">
        <v>75</v>
      </c>
      <c r="E26" s="262"/>
      <c r="F26" s="208">
        <v>1</v>
      </c>
      <c r="G26" s="203">
        <f t="shared" si="0"/>
        <v>0</v>
      </c>
      <c r="H26" s="60">
        <v>0</v>
      </c>
      <c r="I26" s="79">
        <f t="shared" si="1"/>
        <v>0</v>
      </c>
      <c r="J26" s="68">
        <f t="shared" si="2"/>
        <v>0</v>
      </c>
      <c r="K26" s="72"/>
      <c r="L26" s="62">
        <f>IF( $B$3 = 1,  G26,H26 )</f>
        <v>0</v>
      </c>
      <c r="M26" s="80">
        <f>+I26</f>
        <v>0</v>
      </c>
      <c r="N26" s="61">
        <f>+J26</f>
        <v>0</v>
      </c>
      <c r="O26" s="74" t="str">
        <f>+A26</f>
        <v>LUXXUR</v>
      </c>
      <c r="P26" s="285">
        <v>45222</v>
      </c>
      <c r="Q26" s="218"/>
      <c r="R26" s="218"/>
      <c r="S26" s="218"/>
      <c r="T26" s="35"/>
      <c r="U26" s="35"/>
      <c r="V26" s="38"/>
      <c r="W26" s="36" t="s">
        <v>483</v>
      </c>
      <c r="X26" s="36" t="s">
        <v>153</v>
      </c>
      <c r="Z26" s="37" t="s">
        <v>54</v>
      </c>
      <c r="AA26" s="148" t="s">
        <v>211</v>
      </c>
    </row>
    <row r="27" spans="1:28" s="37" customFormat="1" ht="14.25" x14ac:dyDescent="0.2">
      <c r="A27" s="204" t="s">
        <v>111</v>
      </c>
      <c r="B27" s="213" t="s">
        <v>237</v>
      </c>
      <c r="C27" s="208">
        <v>11</v>
      </c>
      <c r="D27" s="208" t="s">
        <v>76</v>
      </c>
      <c r="E27" s="262"/>
      <c r="F27" s="208">
        <v>0.5</v>
      </c>
      <c r="G27" s="203">
        <f t="shared" si="0"/>
        <v>0</v>
      </c>
      <c r="H27" s="60">
        <v>0</v>
      </c>
      <c r="I27" s="79">
        <f t="shared" si="1"/>
        <v>0</v>
      </c>
      <c r="J27" s="68">
        <f t="shared" si="2"/>
        <v>0</v>
      </c>
      <c r="K27" s="72"/>
      <c r="L27" s="62"/>
      <c r="M27" s="80"/>
      <c r="N27" s="61"/>
      <c r="O27" s="74"/>
      <c r="P27" s="285">
        <v>45222</v>
      </c>
      <c r="Q27" s="204"/>
      <c r="R27" s="204"/>
      <c r="S27" s="204"/>
      <c r="T27" s="35"/>
      <c r="U27" s="35"/>
      <c r="V27" s="35"/>
      <c r="W27" s="36" t="s">
        <v>483</v>
      </c>
      <c r="X27" s="36" t="s">
        <v>153</v>
      </c>
      <c r="Z27" s="37" t="s">
        <v>55</v>
      </c>
      <c r="AA27" s="148" t="s">
        <v>199</v>
      </c>
    </row>
    <row r="28" spans="1:28" s="37" customFormat="1" ht="14.25" x14ac:dyDescent="0.2">
      <c r="A28" s="204" t="s">
        <v>111</v>
      </c>
      <c r="B28" s="207" t="s">
        <v>255</v>
      </c>
      <c r="C28" s="281">
        <v>22</v>
      </c>
      <c r="D28" s="208" t="s">
        <v>75</v>
      </c>
      <c r="E28" s="684">
        <v>669</v>
      </c>
      <c r="F28" s="208">
        <v>1</v>
      </c>
      <c r="G28" s="203">
        <f t="shared" si="0"/>
        <v>0</v>
      </c>
      <c r="H28" s="60">
        <f>+Purchases!C24</f>
        <v>0</v>
      </c>
      <c r="I28" s="79">
        <f t="shared" si="1"/>
        <v>0</v>
      </c>
      <c r="J28" s="68">
        <f t="shared" si="2"/>
        <v>0</v>
      </c>
      <c r="K28" s="72"/>
      <c r="L28" s="62">
        <f>IF( $B$3 = 1,  SUM(G27:G28), SUM(H27:H28) )</f>
        <v>0</v>
      </c>
      <c r="M28" s="80">
        <f>+I27+I28</f>
        <v>0</v>
      </c>
      <c r="N28" s="61">
        <f>+J27+J28</f>
        <v>0</v>
      </c>
      <c r="O28" s="74" t="str">
        <f>+A28</f>
        <v>MOVENTO</v>
      </c>
      <c r="P28" s="285">
        <v>45597</v>
      </c>
      <c r="Q28" s="204"/>
      <c r="R28" s="204"/>
      <c r="S28" s="204"/>
      <c r="T28" s="35"/>
      <c r="U28" s="35"/>
      <c r="V28" s="35"/>
      <c r="W28" s="36"/>
      <c r="X28" s="36" t="s">
        <v>153</v>
      </c>
      <c r="Z28" s="37" t="s">
        <v>55</v>
      </c>
      <c r="AA28" s="148" t="s">
        <v>127</v>
      </c>
    </row>
    <row r="29" spans="1:28" s="37" customFormat="1" ht="14.25" x14ac:dyDescent="0.2">
      <c r="A29" s="204" t="s">
        <v>119</v>
      </c>
      <c r="B29" s="209" t="s">
        <v>145</v>
      </c>
      <c r="C29" s="70">
        <v>1</v>
      </c>
      <c r="D29" s="208" t="s">
        <v>75</v>
      </c>
      <c r="E29" s="684">
        <v>523.5</v>
      </c>
      <c r="F29" s="208">
        <v>1</v>
      </c>
      <c r="G29" s="203">
        <v>0</v>
      </c>
      <c r="H29" s="60">
        <v>0</v>
      </c>
      <c r="I29" s="79">
        <f>+E29*H29</f>
        <v>0</v>
      </c>
      <c r="J29" s="61">
        <f>+F29*H29</f>
        <v>0</v>
      </c>
      <c r="K29" s="72"/>
      <c r="L29" s="62">
        <f>+G29</f>
        <v>0</v>
      </c>
      <c r="M29" s="80">
        <f>+I29</f>
        <v>0</v>
      </c>
      <c r="N29" s="61">
        <f>+J29</f>
        <v>0</v>
      </c>
      <c r="O29" s="74"/>
      <c r="P29" s="285">
        <v>45597</v>
      </c>
      <c r="Q29" s="204"/>
      <c r="R29" s="204"/>
      <c r="S29" s="204"/>
      <c r="T29" s="35"/>
      <c r="U29" s="35"/>
      <c r="V29" s="35"/>
      <c r="W29" s="36" t="s">
        <v>483</v>
      </c>
      <c r="X29" s="36" t="s">
        <v>153</v>
      </c>
      <c r="Z29" s="37" t="s">
        <v>54</v>
      </c>
      <c r="AA29" s="148" t="s">
        <v>34</v>
      </c>
    </row>
    <row r="30" spans="1:28" x14ac:dyDescent="0.25">
      <c r="A30" s="210" t="s">
        <v>84</v>
      </c>
      <c r="B30" s="211" t="s">
        <v>256</v>
      </c>
      <c r="C30" s="216">
        <v>80</v>
      </c>
      <c r="D30" s="208" t="s">
        <v>75</v>
      </c>
      <c r="E30" s="684">
        <v>546.75</v>
      </c>
      <c r="F30" s="208">
        <v>1</v>
      </c>
      <c r="G30" s="203">
        <f t="shared" si="0"/>
        <v>0</v>
      </c>
      <c r="H30" s="60">
        <f>+Purchases!C46</f>
        <v>0</v>
      </c>
      <c r="I30" s="284">
        <f t="shared" si="1"/>
        <v>0</v>
      </c>
      <c r="J30" s="68">
        <f>IF($B$3 =1, H30*F30, (H30/C30) *F30)</f>
        <v>0</v>
      </c>
      <c r="K30" s="72"/>
      <c r="L30" s="62"/>
      <c r="M30" s="80"/>
      <c r="N30" s="61"/>
      <c r="O30" s="74"/>
      <c r="P30" s="285">
        <v>45597</v>
      </c>
      <c r="Q30" s="218"/>
      <c r="R30" s="218"/>
      <c r="S30" s="218"/>
      <c r="T30" s="35"/>
      <c r="U30" s="35"/>
      <c r="V30" s="38"/>
      <c r="W30" s="39"/>
      <c r="X30" s="36" t="s">
        <v>153</v>
      </c>
      <c r="Z30" s="37" t="s">
        <v>54</v>
      </c>
      <c r="AA30" s="148" t="s">
        <v>27</v>
      </c>
    </row>
    <row r="31" spans="1:28" s="37" customFormat="1" ht="14.25" x14ac:dyDescent="0.2">
      <c r="A31" s="204" t="s">
        <v>84</v>
      </c>
      <c r="B31" s="213" t="s">
        <v>146</v>
      </c>
      <c r="C31" s="217">
        <v>80</v>
      </c>
      <c r="D31" s="208" t="s">
        <v>76</v>
      </c>
      <c r="E31" s="262">
        <v>0</v>
      </c>
      <c r="F31" s="208">
        <v>1</v>
      </c>
      <c r="G31" s="203">
        <f t="shared" si="0"/>
        <v>0</v>
      </c>
      <c r="H31" s="60">
        <v>0</v>
      </c>
      <c r="I31" s="79">
        <f t="shared" si="1"/>
        <v>0</v>
      </c>
      <c r="J31" s="68">
        <f t="shared" si="2"/>
        <v>0</v>
      </c>
      <c r="K31" s="72"/>
      <c r="L31" s="62">
        <f>IF( $B$3 = 1,  SUM(G30:G31), SUM(H30:H31) )</f>
        <v>0</v>
      </c>
      <c r="M31" s="80">
        <f>+I30+I31</f>
        <v>0</v>
      </c>
      <c r="N31" s="61">
        <f>+J30+J31</f>
        <v>0</v>
      </c>
      <c r="O31" s="74" t="str">
        <f>+A31</f>
        <v>OLYMPUS</v>
      </c>
      <c r="P31" s="285">
        <v>45222</v>
      </c>
      <c r="Q31" s="204"/>
      <c r="R31" s="204"/>
      <c r="S31" s="204"/>
      <c r="T31" s="35"/>
      <c r="U31" s="35"/>
      <c r="V31" s="35"/>
      <c r="W31" s="36" t="s">
        <v>483</v>
      </c>
      <c r="X31" s="36" t="s">
        <v>153</v>
      </c>
      <c r="Z31" s="37" t="s">
        <v>54</v>
      </c>
      <c r="AA31" s="148" t="s">
        <v>27</v>
      </c>
    </row>
    <row r="32" spans="1:28" s="37" customFormat="1" x14ac:dyDescent="0.25">
      <c r="A32" s="204" t="s">
        <v>265</v>
      </c>
      <c r="B32" s="211" t="s">
        <v>283</v>
      </c>
      <c r="C32" s="216">
        <v>40</v>
      </c>
      <c r="D32" s="208" t="s">
        <v>75</v>
      </c>
      <c r="E32" s="684">
        <v>697</v>
      </c>
      <c r="F32" s="208">
        <v>1</v>
      </c>
      <c r="G32" s="203">
        <f>IF(B$3 =1, H32*C32, H32/C32)</f>
        <v>0</v>
      </c>
      <c r="H32" s="60">
        <f>+Purchases!C45</f>
        <v>0</v>
      </c>
      <c r="I32" s="79">
        <f>IF(B$3 = 1, H32*E32, (H32/C32) *E32)</f>
        <v>0</v>
      </c>
      <c r="J32" s="68">
        <f>IF($B$3 =1, H32*F32, (H32/C32) *F32)</f>
        <v>0</v>
      </c>
      <c r="K32" s="72"/>
      <c r="L32" s="62">
        <f>IF($B$3=1,G32,H32)</f>
        <v>0</v>
      </c>
      <c r="M32" s="80">
        <f>+I32</f>
        <v>0</v>
      </c>
      <c r="N32" s="61">
        <f>+J31+J32</f>
        <v>0</v>
      </c>
      <c r="O32" s="74" t="str">
        <f>+A32</f>
        <v>LAUDIS</v>
      </c>
      <c r="P32" s="285">
        <v>45597</v>
      </c>
      <c r="Q32" s="204"/>
      <c r="R32" s="204"/>
      <c r="S32" s="204"/>
      <c r="T32" s="35"/>
      <c r="U32" s="35"/>
      <c r="V32" s="35"/>
      <c r="W32" s="39"/>
      <c r="X32" s="36" t="s">
        <v>153</v>
      </c>
      <c r="Z32" s="37" t="s">
        <v>54</v>
      </c>
      <c r="AA32" s="148" t="s">
        <v>271</v>
      </c>
    </row>
    <row r="33" spans="1:28" x14ac:dyDescent="0.25">
      <c r="A33" s="70" t="s">
        <v>85</v>
      </c>
      <c r="B33" s="211" t="s">
        <v>257</v>
      </c>
      <c r="C33" s="216">
        <v>20</v>
      </c>
      <c r="D33" s="208" t="s">
        <v>75</v>
      </c>
      <c r="E33" s="684">
        <v>162</v>
      </c>
      <c r="F33" s="70">
        <v>1</v>
      </c>
      <c r="G33" s="203">
        <f>IF(B$3 =1, H33*C33, H33/C33)</f>
        <v>0</v>
      </c>
      <c r="H33" s="60">
        <f>+Purchases!C47</f>
        <v>0</v>
      </c>
      <c r="I33" s="79">
        <f t="shared" si="1"/>
        <v>0</v>
      </c>
      <c r="J33" s="68">
        <f t="shared" si="2"/>
        <v>0</v>
      </c>
      <c r="K33" s="72"/>
      <c r="L33" s="62"/>
      <c r="M33" s="80"/>
      <c r="N33" s="61"/>
      <c r="O33" s="74"/>
      <c r="P33" s="285">
        <v>45597</v>
      </c>
      <c r="Q33" s="218"/>
      <c r="R33" s="218"/>
      <c r="S33" s="218"/>
      <c r="T33" s="35"/>
      <c r="U33" s="35"/>
      <c r="V33" s="38"/>
      <c r="W33" s="39"/>
      <c r="X33" s="36" t="s">
        <v>153</v>
      </c>
      <c r="Z33" s="37" t="s">
        <v>54</v>
      </c>
      <c r="AA33" s="148" t="s">
        <v>15</v>
      </c>
    </row>
    <row r="34" spans="1:28" x14ac:dyDescent="0.25">
      <c r="A34" s="210" t="s">
        <v>85</v>
      </c>
      <c r="B34" s="211" t="s">
        <v>285</v>
      </c>
      <c r="C34" s="216">
        <v>320</v>
      </c>
      <c r="D34" s="208" t="s">
        <v>76</v>
      </c>
      <c r="E34" s="684">
        <v>2592</v>
      </c>
      <c r="F34" s="208">
        <v>16</v>
      </c>
      <c r="G34" s="203">
        <f>IF(B$3 =1, H34*C34, H34/C34)</f>
        <v>0</v>
      </c>
      <c r="H34" s="60">
        <f>+Purchases!C48</f>
        <v>0</v>
      </c>
      <c r="I34" s="79">
        <f t="shared" si="1"/>
        <v>0</v>
      </c>
      <c r="J34" s="68">
        <f t="shared" si="2"/>
        <v>0</v>
      </c>
      <c r="K34" s="72"/>
      <c r="L34" s="62">
        <f>IF( $B$3 = 1,  SUM(G33:G34), SUM(H33:H34) )</f>
        <v>0</v>
      </c>
      <c r="M34" s="80">
        <f>+I33+I34</f>
        <v>0</v>
      </c>
      <c r="N34" s="61">
        <f>+J33+J34</f>
        <v>0</v>
      </c>
      <c r="O34" s="74" t="str">
        <f>+A34</f>
        <v>PARDNER</v>
      </c>
      <c r="P34" s="285">
        <v>45597</v>
      </c>
      <c r="Q34" s="218">
        <f>IF( $B$3 = 1,  SUM($G33:$G34), SUM($H33:$H34) )</f>
        <v>0</v>
      </c>
      <c r="R34" s="218">
        <f>+$J33+$J34</f>
        <v>0</v>
      </c>
      <c r="S34" s="218"/>
      <c r="T34" s="35"/>
      <c r="U34" s="35"/>
      <c r="V34" s="38"/>
      <c r="W34" s="39"/>
      <c r="X34" s="36" t="s">
        <v>153</v>
      </c>
      <c r="Z34" s="37" t="s">
        <v>54</v>
      </c>
      <c r="AA34" s="148" t="s">
        <v>201</v>
      </c>
    </row>
    <row r="35" spans="1:28" x14ac:dyDescent="0.25">
      <c r="A35" s="210" t="s">
        <v>86</v>
      </c>
      <c r="B35" s="211" t="s">
        <v>258</v>
      </c>
      <c r="C35" s="216">
        <v>40</v>
      </c>
      <c r="D35" s="208" t="s">
        <v>75</v>
      </c>
      <c r="E35" s="684">
        <v>677.5</v>
      </c>
      <c r="F35" s="208">
        <v>1</v>
      </c>
      <c r="G35" s="203">
        <f t="shared" si="0"/>
        <v>0</v>
      </c>
      <c r="H35" s="60">
        <f>+Purchases!C64</f>
        <v>0</v>
      </c>
      <c r="I35" s="79">
        <f t="shared" si="1"/>
        <v>0</v>
      </c>
      <c r="J35" s="68">
        <f t="shared" si="2"/>
        <v>0</v>
      </c>
      <c r="K35" s="72"/>
      <c r="L35" s="62">
        <f>IF( $B$3 = 1,  G35,H35 )</f>
        <v>0</v>
      </c>
      <c r="M35" s="80">
        <f>+I35</f>
        <v>0</v>
      </c>
      <c r="N35" s="61">
        <f>+J35</f>
        <v>0</v>
      </c>
      <c r="O35" s="74" t="s">
        <v>86</v>
      </c>
      <c r="P35" s="285">
        <v>45597</v>
      </c>
      <c r="Q35" s="218"/>
      <c r="R35" s="218"/>
      <c r="S35" s="218"/>
      <c r="T35" s="35"/>
      <c r="U35" s="35"/>
      <c r="V35" s="38"/>
      <c r="W35" s="39"/>
      <c r="X35" s="36" t="s">
        <v>153</v>
      </c>
      <c r="Z35" s="37" t="s">
        <v>55</v>
      </c>
      <c r="AA35" s="148" t="s">
        <v>29</v>
      </c>
    </row>
    <row r="36" spans="1:28" x14ac:dyDescent="0.25">
      <c r="A36" s="210" t="s">
        <v>189</v>
      </c>
      <c r="B36" s="211" t="s">
        <v>286</v>
      </c>
      <c r="C36" s="216">
        <v>40</v>
      </c>
      <c r="D36" s="208" t="s">
        <v>75</v>
      </c>
      <c r="E36" s="684">
        <v>962.25</v>
      </c>
      <c r="F36" s="208">
        <v>1</v>
      </c>
      <c r="G36" s="203">
        <f>IF(B$3 =1, H36*C36, H36/C36)</f>
        <v>0</v>
      </c>
      <c r="H36" s="60">
        <f>+Purchases!C65</f>
        <v>0</v>
      </c>
      <c r="I36" s="79">
        <f>IF(B$3 = 1, H36*E36, (H36/C36) *E36)</f>
        <v>0</v>
      </c>
      <c r="J36" s="68">
        <f>IF($B$3 =1, H36*F36, (H36/C36) *F36)</f>
        <v>0</v>
      </c>
      <c r="K36" s="72"/>
      <c r="L36" s="62">
        <f>IF( $B$3 = 1,  G36,H36 )</f>
        <v>0</v>
      </c>
      <c r="M36" s="80">
        <f>+I36</f>
        <v>0</v>
      </c>
      <c r="N36" s="61">
        <f>+J36</f>
        <v>0</v>
      </c>
      <c r="O36" s="74" t="s">
        <v>86</v>
      </c>
      <c r="P36" s="285">
        <v>45597</v>
      </c>
      <c r="Q36" s="218"/>
      <c r="R36" s="218"/>
      <c r="S36" s="218"/>
      <c r="T36" s="35"/>
      <c r="U36" s="35"/>
      <c r="V36" s="38"/>
      <c r="W36" s="39"/>
      <c r="X36" s="36" t="s">
        <v>153</v>
      </c>
      <c r="Z36" s="37" t="s">
        <v>55</v>
      </c>
      <c r="AA36" s="148" t="s">
        <v>234</v>
      </c>
    </row>
    <row r="37" spans="1:28" x14ac:dyDescent="0.25">
      <c r="A37" s="210" t="s">
        <v>264</v>
      </c>
      <c r="B37" s="211" t="s">
        <v>287</v>
      </c>
      <c r="C37" s="216">
        <v>20</v>
      </c>
      <c r="D37" s="208" t="s">
        <v>75</v>
      </c>
      <c r="E37" s="684">
        <v>491.75</v>
      </c>
      <c r="F37" s="208">
        <v>1</v>
      </c>
      <c r="G37" s="203">
        <f>IF(B$3 =1, H37*C37, H37/C37)</f>
        <v>0</v>
      </c>
      <c r="H37" s="60">
        <f>+Purchases!C66</f>
        <v>0</v>
      </c>
      <c r="I37" s="79">
        <f>IF(B$3 = 1, H37*E37, (H37/C37) *E37)</f>
        <v>0</v>
      </c>
      <c r="J37" s="68">
        <f>IF($B$3 =1, H37*F37, (H37/C37) *F37)</f>
        <v>0</v>
      </c>
      <c r="K37" s="72"/>
      <c r="L37" s="62"/>
      <c r="M37" s="80"/>
      <c r="N37" s="61"/>
      <c r="O37" s="75"/>
      <c r="P37" s="285">
        <v>45597</v>
      </c>
      <c r="Q37" s="218"/>
      <c r="R37" s="218"/>
      <c r="S37" s="218"/>
      <c r="T37" s="35"/>
      <c r="U37" s="35"/>
      <c r="V37" s="38"/>
      <c r="W37" s="39"/>
      <c r="X37" s="36" t="s">
        <v>153</v>
      </c>
      <c r="Z37" s="37" t="s">
        <v>55</v>
      </c>
      <c r="AA37" s="148" t="s">
        <v>220</v>
      </c>
    </row>
    <row r="38" spans="1:28" x14ac:dyDescent="0.25">
      <c r="A38" s="210" t="s">
        <v>264</v>
      </c>
      <c r="B38" s="211" t="s">
        <v>321</v>
      </c>
      <c r="C38" s="216">
        <v>320</v>
      </c>
      <c r="D38" s="208" t="s">
        <v>76</v>
      </c>
      <c r="E38" s="684">
        <v>7868</v>
      </c>
      <c r="F38" s="208">
        <v>16</v>
      </c>
      <c r="G38" s="203">
        <f>IF(B$3 =1, H38*C38, H38/C38)</f>
        <v>0</v>
      </c>
      <c r="H38" s="60">
        <f>+Purchases!C67</f>
        <v>0</v>
      </c>
      <c r="I38" s="79">
        <f>IF(B$3 = 1, H38*E38, (H38/C38) *E38)</f>
        <v>0</v>
      </c>
      <c r="J38" s="68">
        <f>IF($B$3 =1, H38*F38, (H38/C38) *F38)</f>
        <v>0</v>
      </c>
      <c r="K38" s="72"/>
      <c r="L38" s="62">
        <f>IF( $B$3 = 1,  SUM(G37:G38), SUM(H37:H38) )</f>
        <v>0</v>
      </c>
      <c r="M38" s="80">
        <f>+I37+I38</f>
        <v>0</v>
      </c>
      <c r="N38" s="61">
        <f>+J37+J38</f>
        <v>0</v>
      </c>
      <c r="O38" s="75" t="str">
        <f>+A38</f>
        <v>PROSARO PRO</v>
      </c>
      <c r="P38" s="285">
        <v>45597</v>
      </c>
      <c r="Q38" s="218"/>
      <c r="R38" s="218"/>
      <c r="S38" s="218"/>
      <c r="T38" s="35"/>
      <c r="U38" s="35"/>
      <c r="V38" s="38"/>
      <c r="W38" s="39"/>
      <c r="X38" s="36" t="s">
        <v>153</v>
      </c>
      <c r="Z38" s="37" t="s">
        <v>55</v>
      </c>
      <c r="AA38" s="148" t="s">
        <v>322</v>
      </c>
    </row>
    <row r="39" spans="1:28" x14ac:dyDescent="0.25">
      <c r="A39" s="210" t="s">
        <v>87</v>
      </c>
      <c r="B39" s="211" t="s">
        <v>288</v>
      </c>
      <c r="C39" s="216">
        <v>20</v>
      </c>
      <c r="D39" s="208" t="s">
        <v>75</v>
      </c>
      <c r="E39" s="684">
        <v>381</v>
      </c>
      <c r="F39" s="208">
        <v>1</v>
      </c>
      <c r="G39" s="203">
        <f t="shared" si="0"/>
        <v>0</v>
      </c>
      <c r="H39" s="60">
        <f>+Purchases!G57</f>
        <v>0</v>
      </c>
      <c r="I39" s="79">
        <f t="shared" si="1"/>
        <v>0</v>
      </c>
      <c r="J39" s="68">
        <f t="shared" si="2"/>
        <v>0</v>
      </c>
      <c r="K39" s="72"/>
      <c r="L39" s="62"/>
      <c r="M39" s="80"/>
      <c r="N39" s="61"/>
      <c r="O39" s="75"/>
      <c r="P39" s="285">
        <v>45597</v>
      </c>
      <c r="Q39" s="218"/>
      <c r="R39" s="218"/>
      <c r="S39" s="218"/>
      <c r="T39" s="35"/>
      <c r="U39" s="35"/>
      <c r="V39" s="38"/>
      <c r="W39" s="39"/>
      <c r="X39" s="36" t="s">
        <v>153</v>
      </c>
      <c r="Z39" s="37" t="s">
        <v>55</v>
      </c>
      <c r="AA39" s="148" t="s">
        <v>31</v>
      </c>
    </row>
    <row r="40" spans="1:28" x14ac:dyDescent="0.25">
      <c r="A40" s="210" t="s">
        <v>87</v>
      </c>
      <c r="B40" s="211" t="s">
        <v>259</v>
      </c>
      <c r="C40" s="216">
        <v>320</v>
      </c>
      <c r="D40" s="208" t="s">
        <v>76</v>
      </c>
      <c r="E40" s="684">
        <v>6096</v>
      </c>
      <c r="F40" s="208">
        <v>16</v>
      </c>
      <c r="G40" s="203">
        <f t="shared" si="0"/>
        <v>0</v>
      </c>
      <c r="H40" s="60">
        <f>+Purchases!G58</f>
        <v>0</v>
      </c>
      <c r="I40" s="79">
        <f t="shared" si="1"/>
        <v>0</v>
      </c>
      <c r="J40" s="68">
        <f t="shared" si="2"/>
        <v>0</v>
      </c>
      <c r="K40" s="72"/>
      <c r="L40" s="62">
        <f>IF( $B$3 = 1,  SUM(G39:G40), SUM(H39:H40) )</f>
        <v>0</v>
      </c>
      <c r="M40" s="80">
        <f>SUM(I39:I40)</f>
        <v>0</v>
      </c>
      <c r="N40" s="61">
        <f>SUM(J39:J40)</f>
        <v>0</v>
      </c>
      <c r="O40" s="74" t="str">
        <f>+A39</f>
        <v>PROSARO XTR</v>
      </c>
      <c r="P40" s="285">
        <v>45597</v>
      </c>
      <c r="Q40" s="218"/>
      <c r="R40" s="218"/>
      <c r="S40" s="218"/>
      <c r="T40" s="35"/>
      <c r="U40" s="35"/>
      <c r="V40" s="38"/>
      <c r="W40" s="39"/>
      <c r="X40" s="36" t="s">
        <v>153</v>
      </c>
      <c r="Z40" s="37" t="s">
        <v>55</v>
      </c>
      <c r="AA40" s="148" t="s">
        <v>212</v>
      </c>
    </row>
    <row r="41" spans="1:28" x14ac:dyDescent="0.25">
      <c r="A41" s="210" t="s">
        <v>88</v>
      </c>
      <c r="B41" s="211" t="s">
        <v>304</v>
      </c>
      <c r="C41" s="216">
        <v>20</v>
      </c>
      <c r="D41" s="208" t="s">
        <v>75</v>
      </c>
      <c r="E41" s="684">
        <v>183.25</v>
      </c>
      <c r="F41" s="208">
        <v>1</v>
      </c>
      <c r="G41" s="203">
        <f t="shared" si="0"/>
        <v>0</v>
      </c>
      <c r="H41" s="60">
        <f>+Purchases!C49</f>
        <v>0</v>
      </c>
      <c r="I41" s="79">
        <f t="shared" si="1"/>
        <v>0</v>
      </c>
      <c r="J41" s="68">
        <f t="shared" si="2"/>
        <v>0</v>
      </c>
      <c r="K41" s="72"/>
      <c r="L41" s="62"/>
      <c r="M41" s="80"/>
      <c r="N41" s="61"/>
      <c r="O41" s="74"/>
      <c r="P41" s="285">
        <v>45597</v>
      </c>
      <c r="Q41" s="218"/>
      <c r="R41" s="218"/>
      <c r="S41" s="218"/>
      <c r="T41" s="35"/>
      <c r="U41" s="35"/>
      <c r="V41" s="38"/>
      <c r="W41" s="39"/>
      <c r="X41" s="36" t="s">
        <v>153</v>
      </c>
      <c r="Z41" s="37" t="s">
        <v>54</v>
      </c>
      <c r="AA41" s="148" t="s">
        <v>33</v>
      </c>
    </row>
    <row r="42" spans="1:28" x14ac:dyDescent="0.25">
      <c r="A42" s="210" t="s">
        <v>88</v>
      </c>
      <c r="B42" s="211" t="s">
        <v>289</v>
      </c>
      <c r="C42" s="216">
        <v>300</v>
      </c>
      <c r="D42" s="208" t="s">
        <v>76</v>
      </c>
      <c r="E42" s="684">
        <v>2748.75</v>
      </c>
      <c r="F42" s="208">
        <v>15</v>
      </c>
      <c r="G42" s="203">
        <f t="shared" si="0"/>
        <v>0</v>
      </c>
      <c r="H42" s="60">
        <f>+Purchases!C50</f>
        <v>0</v>
      </c>
      <c r="I42" s="79">
        <f t="shared" si="1"/>
        <v>0</v>
      </c>
      <c r="J42" s="68">
        <f t="shared" si="2"/>
        <v>0</v>
      </c>
      <c r="K42" s="72"/>
      <c r="L42" s="62"/>
      <c r="M42" s="80"/>
      <c r="N42" s="61"/>
      <c r="O42" s="74"/>
      <c r="P42" s="285">
        <v>45597</v>
      </c>
      <c r="Q42" s="218"/>
      <c r="R42" s="218"/>
      <c r="S42" s="218"/>
      <c r="T42" s="35"/>
      <c r="U42" s="35"/>
      <c r="V42" s="38"/>
      <c r="W42" s="39"/>
      <c r="X42" s="36" t="s">
        <v>153</v>
      </c>
      <c r="Z42" s="37" t="s">
        <v>54</v>
      </c>
      <c r="AA42" s="148" t="s">
        <v>213</v>
      </c>
    </row>
    <row r="43" spans="1:28" x14ac:dyDescent="0.25">
      <c r="A43" s="210" t="s">
        <v>88</v>
      </c>
      <c r="B43" s="211" t="s">
        <v>290</v>
      </c>
      <c r="C43" s="216">
        <v>1000</v>
      </c>
      <c r="D43" s="208" t="s">
        <v>76</v>
      </c>
      <c r="E43" s="684">
        <v>9162.5</v>
      </c>
      <c r="F43" s="208">
        <v>50</v>
      </c>
      <c r="G43" s="203">
        <f t="shared" si="0"/>
        <v>0</v>
      </c>
      <c r="H43" s="60">
        <f>+Purchases!C51</f>
        <v>0</v>
      </c>
      <c r="I43" s="79">
        <f t="shared" si="1"/>
        <v>0</v>
      </c>
      <c r="J43" s="68">
        <f t="shared" si="2"/>
        <v>0</v>
      </c>
      <c r="K43" s="72"/>
      <c r="L43" s="62">
        <f>IF( $B$3 = 1,  SUM(G41:G43), SUM(H41:H43) )</f>
        <v>0</v>
      </c>
      <c r="M43" s="80">
        <f>SUM(I41:I43)</f>
        <v>0</v>
      </c>
      <c r="N43" s="61">
        <f>SUM(J41:J43)</f>
        <v>0</v>
      </c>
      <c r="O43" s="74" t="str">
        <f>+A43</f>
        <v>PUMA ADVANCE</v>
      </c>
      <c r="P43" s="285">
        <v>45597</v>
      </c>
      <c r="Q43" s="218"/>
      <c r="R43" s="218"/>
      <c r="S43" s="218"/>
      <c r="T43" s="35"/>
      <c r="U43" s="35"/>
      <c r="V43" s="38"/>
      <c r="W43" s="39"/>
      <c r="X43" s="36" t="s">
        <v>153</v>
      </c>
      <c r="Z43" s="37" t="s">
        <v>54</v>
      </c>
      <c r="AA43" s="148" t="s">
        <v>214</v>
      </c>
    </row>
    <row r="44" spans="1:28" x14ac:dyDescent="0.25">
      <c r="A44" s="210" t="s">
        <v>89</v>
      </c>
      <c r="B44" s="211" t="s">
        <v>260</v>
      </c>
      <c r="C44" s="216">
        <v>65</v>
      </c>
      <c r="D44" s="208" t="s">
        <v>75</v>
      </c>
      <c r="E44" s="684">
        <v>422.25</v>
      </c>
      <c r="F44" s="70">
        <v>1</v>
      </c>
      <c r="G44" s="203">
        <f t="shared" si="0"/>
        <v>0</v>
      </c>
      <c r="H44" s="60">
        <f>+Purchases!C25</f>
        <v>0</v>
      </c>
      <c r="I44" s="79">
        <f t="shared" si="1"/>
        <v>0</v>
      </c>
      <c r="J44" s="68">
        <f t="shared" si="2"/>
        <v>0</v>
      </c>
      <c r="K44" s="72"/>
      <c r="L44" s="62"/>
      <c r="M44" s="80"/>
      <c r="N44" s="61"/>
      <c r="O44" s="74"/>
      <c r="P44" s="285">
        <v>45597</v>
      </c>
      <c r="Q44" s="218"/>
      <c r="R44" s="218"/>
      <c r="S44" s="218"/>
      <c r="T44" s="35"/>
      <c r="U44" s="35"/>
      <c r="V44" s="38"/>
      <c r="W44" s="39"/>
      <c r="X44" s="36" t="s">
        <v>153</v>
      </c>
      <c r="Z44" s="37" t="s">
        <v>56</v>
      </c>
      <c r="AA44" s="148" t="s">
        <v>34</v>
      </c>
      <c r="AB44" s="26" t="s">
        <v>243</v>
      </c>
    </row>
    <row r="45" spans="1:28" x14ac:dyDescent="0.25">
      <c r="A45" s="210" t="s">
        <v>89</v>
      </c>
      <c r="B45" s="211" t="s">
        <v>291</v>
      </c>
      <c r="C45" s="282">
        <v>380.25</v>
      </c>
      <c r="D45" s="208" t="s">
        <v>76</v>
      </c>
      <c r="E45" s="684">
        <v>2470.25</v>
      </c>
      <c r="F45" s="70">
        <v>5.85</v>
      </c>
      <c r="G45" s="203">
        <f t="shared" si="0"/>
        <v>0</v>
      </c>
      <c r="H45" s="60">
        <f>+Purchases!C26</f>
        <v>0</v>
      </c>
      <c r="I45" s="79">
        <f t="shared" si="1"/>
        <v>0</v>
      </c>
      <c r="J45" s="68">
        <f t="shared" si="2"/>
        <v>0</v>
      </c>
      <c r="K45" s="72"/>
      <c r="L45" s="62"/>
      <c r="M45" s="80"/>
      <c r="N45" s="61"/>
      <c r="O45" s="74"/>
      <c r="P45" s="285">
        <v>45597</v>
      </c>
      <c r="Q45" s="218"/>
      <c r="R45" s="218"/>
      <c r="S45" s="218"/>
      <c r="T45" s="35"/>
      <c r="U45" s="35"/>
      <c r="V45" s="38"/>
      <c r="W45" s="39"/>
      <c r="X45" s="36" t="s">
        <v>153</v>
      </c>
      <c r="Z45" s="37" t="s">
        <v>56</v>
      </c>
      <c r="AA45" s="148" t="s">
        <v>215</v>
      </c>
      <c r="AB45" s="26" t="s">
        <v>244</v>
      </c>
    </row>
    <row r="46" spans="1:28" x14ac:dyDescent="0.25">
      <c r="A46" s="210" t="s">
        <v>89</v>
      </c>
      <c r="B46" s="211" t="s">
        <v>292</v>
      </c>
      <c r="C46" s="216">
        <v>1140.75</v>
      </c>
      <c r="D46" s="208" t="s">
        <v>76</v>
      </c>
      <c r="E46" s="684">
        <v>7410.5</v>
      </c>
      <c r="F46" s="70">
        <v>17.55</v>
      </c>
      <c r="G46" s="203">
        <f t="shared" si="0"/>
        <v>0</v>
      </c>
      <c r="H46" s="60">
        <f>+Purchases!C27</f>
        <v>0</v>
      </c>
      <c r="I46" s="79">
        <f t="shared" si="1"/>
        <v>0</v>
      </c>
      <c r="J46" s="68">
        <f t="shared" si="2"/>
        <v>0</v>
      </c>
      <c r="K46" s="72"/>
      <c r="L46" s="62"/>
      <c r="M46" s="80"/>
      <c r="N46" s="61"/>
      <c r="O46" s="74"/>
      <c r="P46" s="285">
        <v>45597</v>
      </c>
      <c r="Q46" s="218"/>
      <c r="R46" s="218"/>
      <c r="S46" s="218"/>
      <c r="T46" s="35"/>
      <c r="U46" s="35"/>
      <c r="V46" s="38"/>
      <c r="W46" s="39"/>
      <c r="X46" s="36" t="s">
        <v>153</v>
      </c>
      <c r="Z46" s="37" t="s">
        <v>56</v>
      </c>
      <c r="AA46" s="148" t="s">
        <v>216</v>
      </c>
      <c r="AB46" s="26" t="s">
        <v>244</v>
      </c>
    </row>
    <row r="47" spans="1:28" x14ac:dyDescent="0.25">
      <c r="A47" s="210" t="s">
        <v>89</v>
      </c>
      <c r="B47" s="211" t="s">
        <v>293</v>
      </c>
      <c r="C47" s="216">
        <v>6500</v>
      </c>
      <c r="D47" s="208" t="s">
        <v>76</v>
      </c>
      <c r="E47" s="684">
        <v>42225</v>
      </c>
      <c r="F47" s="70">
        <v>100</v>
      </c>
      <c r="G47" s="203">
        <f t="shared" si="0"/>
        <v>0</v>
      </c>
      <c r="H47" s="60">
        <f>+Purchases!C28</f>
        <v>0</v>
      </c>
      <c r="I47" s="79">
        <f t="shared" si="1"/>
        <v>0</v>
      </c>
      <c r="J47" s="68">
        <f t="shared" si="2"/>
        <v>0</v>
      </c>
      <c r="K47" s="72"/>
      <c r="L47" s="62">
        <f>IF( $B$3 = 1,  SUM(G44:G47), SUM(H44:H47) )</f>
        <v>0</v>
      </c>
      <c r="M47" s="80">
        <f>SUM(I44:I47)</f>
        <v>0</v>
      </c>
      <c r="N47" s="61">
        <f>SUM(J44:J47)</f>
        <v>0</v>
      </c>
      <c r="O47" s="74" t="str">
        <f>+A47</f>
        <v>RAXIL PRO</v>
      </c>
      <c r="P47" s="285">
        <v>45597</v>
      </c>
      <c r="Q47" s="218"/>
      <c r="R47" s="218"/>
      <c r="S47" s="218"/>
      <c r="T47" s="35"/>
      <c r="U47" s="35"/>
      <c r="V47" s="38"/>
      <c r="W47" s="39"/>
      <c r="X47" s="36" t="s">
        <v>153</v>
      </c>
      <c r="Z47" s="37" t="s">
        <v>56</v>
      </c>
      <c r="AA47" s="148" t="s">
        <v>217</v>
      </c>
      <c r="AB47" s="26" t="s">
        <v>244</v>
      </c>
    </row>
    <row r="48" spans="1:28" x14ac:dyDescent="0.25">
      <c r="A48" s="210" t="s">
        <v>90</v>
      </c>
      <c r="B48" s="211" t="s">
        <v>294</v>
      </c>
      <c r="C48" s="216">
        <v>65</v>
      </c>
      <c r="D48" s="208" t="s">
        <v>75</v>
      </c>
      <c r="E48" s="262">
        <v>659</v>
      </c>
      <c r="F48" s="70">
        <v>1</v>
      </c>
      <c r="G48" s="203">
        <f t="shared" si="0"/>
        <v>0</v>
      </c>
      <c r="H48" s="60">
        <f>+Purchases!C29</f>
        <v>0</v>
      </c>
      <c r="I48" s="79">
        <f t="shared" si="1"/>
        <v>0</v>
      </c>
      <c r="J48" s="68">
        <f t="shared" si="2"/>
        <v>0</v>
      </c>
      <c r="K48" s="72"/>
      <c r="L48" s="62">
        <f>IF( $B$3 = 1,  G48,H48 )</f>
        <v>0</v>
      </c>
      <c r="M48" s="80">
        <f>+I48</f>
        <v>0</v>
      </c>
      <c r="N48" s="61">
        <f>+J48</f>
        <v>0</v>
      </c>
      <c r="O48" s="74" t="str">
        <f>+A48</f>
        <v>RAXIL PRO SHIELD</v>
      </c>
      <c r="P48" s="285">
        <v>45222</v>
      </c>
      <c r="Q48" s="218"/>
      <c r="R48" s="218"/>
      <c r="S48" s="218"/>
      <c r="T48" s="35"/>
      <c r="U48" s="35"/>
      <c r="V48" s="38"/>
      <c r="W48" s="39" t="s">
        <v>381</v>
      </c>
      <c r="X48" s="36" t="s">
        <v>153</v>
      </c>
      <c r="Z48" s="37" t="s">
        <v>56</v>
      </c>
      <c r="AA48" s="148" t="s">
        <v>218</v>
      </c>
    </row>
    <row r="49" spans="1:29" x14ac:dyDescent="0.25">
      <c r="A49" s="210" t="s">
        <v>117</v>
      </c>
      <c r="B49" s="213" t="s">
        <v>142</v>
      </c>
      <c r="C49" s="70">
        <v>1</v>
      </c>
      <c r="D49" s="208" t="s">
        <v>75</v>
      </c>
      <c r="E49" s="262">
        <v>0</v>
      </c>
      <c r="F49" s="70">
        <v>1</v>
      </c>
      <c r="G49" s="203">
        <f t="shared" si="0"/>
        <v>0</v>
      </c>
      <c r="H49" s="60">
        <v>0</v>
      </c>
      <c r="I49" s="79">
        <f>+E49*H49</f>
        <v>0</v>
      </c>
      <c r="J49" s="61">
        <f>+F49*H49</f>
        <v>0</v>
      </c>
      <c r="K49" s="72"/>
      <c r="L49" s="62">
        <f>+G49</f>
        <v>0</v>
      </c>
      <c r="M49" s="80">
        <f>+I49</f>
        <v>0</v>
      </c>
      <c r="N49" s="61">
        <f>+J49</f>
        <v>0</v>
      </c>
      <c r="O49" s="74" t="str">
        <f>+A49</f>
        <v>REASON</v>
      </c>
      <c r="P49" s="285">
        <v>45222</v>
      </c>
      <c r="Q49" s="218"/>
      <c r="R49" s="218"/>
      <c r="S49" s="218"/>
      <c r="T49" s="35"/>
      <c r="U49" s="35"/>
      <c r="V49" s="38"/>
      <c r="W49" s="36" t="s">
        <v>483</v>
      </c>
      <c r="X49" s="36" t="s">
        <v>153</v>
      </c>
      <c r="Z49" s="37" t="s">
        <v>55</v>
      </c>
      <c r="AA49" s="148" t="s">
        <v>127</v>
      </c>
    </row>
    <row r="50" spans="1:29" x14ac:dyDescent="0.25">
      <c r="A50" s="70" t="s">
        <v>156</v>
      </c>
      <c r="B50" s="370" t="s">
        <v>398</v>
      </c>
      <c r="C50" s="216">
        <v>5</v>
      </c>
      <c r="D50" s="208" t="s">
        <v>75</v>
      </c>
      <c r="E50" s="262">
        <v>110</v>
      </c>
      <c r="F50" s="70">
        <v>1</v>
      </c>
      <c r="G50" s="203">
        <f t="shared" si="0"/>
        <v>0</v>
      </c>
      <c r="H50" s="60">
        <f>+Purchases!G32</f>
        <v>0</v>
      </c>
      <c r="I50" s="79">
        <f t="shared" si="1"/>
        <v>0</v>
      </c>
      <c r="J50" s="68">
        <f t="shared" si="2"/>
        <v>0</v>
      </c>
      <c r="K50" s="72"/>
      <c r="L50" s="62"/>
      <c r="M50" s="80"/>
      <c r="N50" s="61"/>
      <c r="O50" s="74"/>
      <c r="P50" s="285">
        <v>45222</v>
      </c>
      <c r="Q50" s="218"/>
      <c r="R50" s="218"/>
      <c r="S50" s="218"/>
      <c r="T50" s="35"/>
      <c r="U50" s="35"/>
      <c r="V50" s="38"/>
      <c r="W50" s="36"/>
      <c r="X50" s="36" t="s">
        <v>153</v>
      </c>
      <c r="Z50" s="37" t="s">
        <v>54</v>
      </c>
      <c r="AA50" s="148" t="s">
        <v>34</v>
      </c>
      <c r="AC50" s="371" t="str">
        <f>LEFT(B50,15)  &amp; "("&amp;AA50&amp;")"</f>
        <v>ROUNDUP XTEND® (10 L)</v>
      </c>
    </row>
    <row r="51" spans="1:29" x14ac:dyDescent="0.25">
      <c r="A51" s="70" t="s">
        <v>156</v>
      </c>
      <c r="B51" s="368" t="s">
        <v>392</v>
      </c>
      <c r="C51" s="216">
        <v>225</v>
      </c>
      <c r="D51" s="208" t="s">
        <v>76</v>
      </c>
      <c r="E51" s="262">
        <v>4950</v>
      </c>
      <c r="F51" s="70">
        <v>45</v>
      </c>
      <c r="G51" s="203">
        <f t="shared" ref="G51:G59" si="4">IF(B$3 =1, H51*C51, H51/C51)</f>
        <v>0</v>
      </c>
      <c r="H51" s="60">
        <f>+Purchases!G33</f>
        <v>0</v>
      </c>
      <c r="I51" s="79">
        <f t="shared" ref="I51:I59" si="5">IF(B$3 = 1, H51*E51, (H51/C51) *E51)</f>
        <v>0</v>
      </c>
      <c r="J51" s="68">
        <f t="shared" ref="J51:J59" si="6">IF($B$3 =1, H51*F51, (H51/C51) *F51)</f>
        <v>0</v>
      </c>
      <c r="K51" s="72"/>
      <c r="L51" s="62" t="s">
        <v>121</v>
      </c>
      <c r="M51" s="80" t="s">
        <v>121</v>
      </c>
      <c r="N51" s="61"/>
      <c r="O51" s="74" t="str">
        <f>+A51</f>
        <v>ROUNDUP XTEND</v>
      </c>
      <c r="P51" s="285">
        <v>45222</v>
      </c>
      <c r="Q51" s="218"/>
      <c r="R51" s="218"/>
      <c r="S51" s="218"/>
      <c r="T51" s="35"/>
      <c r="U51" s="35"/>
      <c r="V51" s="38"/>
      <c r="W51" s="36"/>
      <c r="X51" s="36" t="s">
        <v>153</v>
      </c>
      <c r="Z51" s="37" t="s">
        <v>54</v>
      </c>
      <c r="AA51" s="148" t="s">
        <v>232</v>
      </c>
      <c r="AC51" s="371" t="str">
        <f t="shared" ref="AC51" si="7">LEFT(B51,15)  &amp; "("&amp;AA51&amp;")"</f>
        <v>ROUNDUP XTEND® (450 L)</v>
      </c>
    </row>
    <row r="52" spans="1:29" x14ac:dyDescent="0.25">
      <c r="A52" s="70" t="s">
        <v>387</v>
      </c>
      <c r="B52" s="368" t="s">
        <v>399</v>
      </c>
      <c r="C52" s="216">
        <v>7</v>
      </c>
      <c r="D52" s="208" t="s">
        <v>75</v>
      </c>
      <c r="E52" s="684">
        <v>138</v>
      </c>
      <c r="F52" s="70">
        <v>1</v>
      </c>
      <c r="G52" s="203">
        <f t="shared" si="4"/>
        <v>0</v>
      </c>
      <c r="H52" s="60">
        <f>+Purchases!G34</f>
        <v>0</v>
      </c>
      <c r="I52" s="79">
        <f t="shared" si="5"/>
        <v>0</v>
      </c>
      <c r="J52" s="68">
        <f t="shared" si="6"/>
        <v>0</v>
      </c>
      <c r="K52" s="72"/>
      <c r="L52" s="62"/>
      <c r="M52" s="80"/>
      <c r="N52" s="61"/>
      <c r="O52" s="74"/>
      <c r="P52" s="285">
        <v>45597</v>
      </c>
      <c r="Q52" s="218"/>
      <c r="R52" s="218"/>
      <c r="S52" s="218"/>
      <c r="T52" s="35"/>
      <c r="U52" s="35"/>
      <c r="V52" s="38"/>
      <c r="W52" s="39"/>
      <c r="X52" s="36" t="s">
        <v>153</v>
      </c>
      <c r="Z52" s="37" t="s">
        <v>54</v>
      </c>
      <c r="AA52" s="148" t="s">
        <v>34</v>
      </c>
      <c r="AC52" s="371" t="str">
        <f>LEFT(B52,17)  &amp; "("&amp;AA52&amp;")"</f>
        <v>ROUNDUP XTEND® 2 (10 L)</v>
      </c>
    </row>
    <row r="53" spans="1:29" x14ac:dyDescent="0.25">
      <c r="A53" s="70" t="s">
        <v>387</v>
      </c>
      <c r="B53" s="368" t="s">
        <v>393</v>
      </c>
      <c r="C53" s="216">
        <v>315</v>
      </c>
      <c r="D53" s="208" t="s">
        <v>76</v>
      </c>
      <c r="E53" s="684">
        <v>6210</v>
      </c>
      <c r="F53" s="70">
        <v>45</v>
      </c>
      <c r="G53" s="203">
        <f t="shared" si="4"/>
        <v>0</v>
      </c>
      <c r="H53" s="60">
        <f>+Purchases!G35</f>
        <v>0</v>
      </c>
      <c r="I53" s="79">
        <f t="shared" si="5"/>
        <v>0</v>
      </c>
      <c r="J53" s="68">
        <f t="shared" si="6"/>
        <v>0</v>
      </c>
      <c r="K53" s="72"/>
      <c r="L53" s="62">
        <f>IF( $B$3 = 1,  SUM(G50:G53), SUM(H50:H53) )</f>
        <v>0</v>
      </c>
      <c r="M53" s="80">
        <f>SUM(I50:I53)</f>
        <v>0</v>
      </c>
      <c r="N53" s="61">
        <f>SUM(J50:J53)</f>
        <v>0</v>
      </c>
      <c r="O53" s="74" t="str">
        <f>+A53</f>
        <v>ROUNDUP XTEND 2</v>
      </c>
      <c r="P53" s="285">
        <v>45597</v>
      </c>
      <c r="Q53" s="218"/>
      <c r="R53" s="218"/>
      <c r="S53" s="218"/>
      <c r="T53" s="35"/>
      <c r="U53" s="35"/>
      <c r="V53" s="38"/>
      <c r="W53" s="39"/>
      <c r="X53" s="36" t="s">
        <v>153</v>
      </c>
      <c r="Z53" s="37" t="s">
        <v>54</v>
      </c>
      <c r="AA53" s="148" t="s">
        <v>232</v>
      </c>
      <c r="AC53" s="371" t="str">
        <f>LEFT(B53,17)  &amp; "("&amp;AA53&amp;")"</f>
        <v>ROUNDUP XTEND® 2 (450 L)</v>
      </c>
    </row>
    <row r="54" spans="1:29" x14ac:dyDescent="0.25">
      <c r="A54" s="70" t="s">
        <v>190</v>
      </c>
      <c r="B54" s="215" t="s">
        <v>261</v>
      </c>
      <c r="C54" s="208">
        <v>15</v>
      </c>
      <c r="D54" s="208" t="s">
        <v>75</v>
      </c>
      <c r="E54" s="262">
        <v>0</v>
      </c>
      <c r="F54" s="70">
        <v>1</v>
      </c>
      <c r="G54" s="203">
        <f t="shared" si="4"/>
        <v>0</v>
      </c>
      <c r="H54" s="60">
        <v>0</v>
      </c>
      <c r="I54" s="79">
        <f t="shared" si="5"/>
        <v>0</v>
      </c>
      <c r="J54" s="68">
        <f t="shared" si="6"/>
        <v>0</v>
      </c>
      <c r="K54" s="72"/>
      <c r="L54" s="62">
        <f>IF( $B$3 = 1,  G54,H54 )</f>
        <v>0</v>
      </c>
      <c r="M54" s="80">
        <f>+I54</f>
        <v>0</v>
      </c>
      <c r="N54" s="61">
        <f>+J54</f>
        <v>0</v>
      </c>
      <c r="O54" s="74" t="str">
        <f>+A54</f>
        <v>ROUNDUP WEATHERMAX</v>
      </c>
      <c r="P54" s="285">
        <v>45222</v>
      </c>
      <c r="Q54" s="218"/>
      <c r="R54" s="218"/>
      <c r="S54" s="218"/>
      <c r="T54" s="35"/>
      <c r="U54" s="35"/>
      <c r="V54" s="38"/>
      <c r="W54" s="36" t="s">
        <v>483</v>
      </c>
      <c r="X54" s="36" t="s">
        <v>153</v>
      </c>
      <c r="Z54" s="37" t="s">
        <v>54</v>
      </c>
      <c r="AA54" s="148" t="s">
        <v>34</v>
      </c>
    </row>
    <row r="55" spans="1:29" x14ac:dyDescent="0.25">
      <c r="A55" s="70" t="s">
        <v>190</v>
      </c>
      <c r="B55" s="215" t="s">
        <v>228</v>
      </c>
      <c r="C55" s="208">
        <v>172</v>
      </c>
      <c r="D55" s="208" t="s">
        <v>76</v>
      </c>
      <c r="E55" s="262">
        <v>0</v>
      </c>
      <c r="F55" s="70">
        <v>11.5</v>
      </c>
      <c r="G55" s="203">
        <f t="shared" si="4"/>
        <v>0</v>
      </c>
      <c r="H55" s="60">
        <v>0</v>
      </c>
      <c r="I55" s="79">
        <f t="shared" si="5"/>
        <v>0</v>
      </c>
      <c r="J55" s="68">
        <f t="shared" si="6"/>
        <v>0</v>
      </c>
      <c r="K55" s="72"/>
      <c r="L55" s="62"/>
      <c r="M55" s="80"/>
      <c r="N55" s="61"/>
      <c r="O55" s="74" t="str">
        <f>+A55</f>
        <v>ROUNDUP WEATHERMAX</v>
      </c>
      <c r="P55" s="285">
        <v>45222</v>
      </c>
      <c r="Q55" s="218"/>
      <c r="R55" s="218"/>
      <c r="S55" s="218"/>
      <c r="T55" s="35"/>
      <c r="U55" s="35"/>
      <c r="V55" s="38"/>
      <c r="W55" s="36" t="s">
        <v>483</v>
      </c>
      <c r="X55" s="36" t="s">
        <v>153</v>
      </c>
      <c r="Z55" s="37" t="s">
        <v>54</v>
      </c>
      <c r="AA55" s="148" t="s">
        <v>231</v>
      </c>
    </row>
    <row r="56" spans="1:29" x14ac:dyDescent="0.25">
      <c r="A56" s="70" t="s">
        <v>190</v>
      </c>
      <c r="B56" s="215" t="s">
        <v>229</v>
      </c>
      <c r="C56" s="208">
        <v>675</v>
      </c>
      <c r="D56" s="208" t="s">
        <v>76</v>
      </c>
      <c r="E56" s="262">
        <v>0</v>
      </c>
      <c r="F56" s="70">
        <v>45</v>
      </c>
      <c r="G56" s="203">
        <f t="shared" si="4"/>
        <v>0</v>
      </c>
      <c r="H56" s="60">
        <v>0</v>
      </c>
      <c r="I56" s="79">
        <f t="shared" si="5"/>
        <v>0</v>
      </c>
      <c r="J56" s="68">
        <f t="shared" si="6"/>
        <v>0</v>
      </c>
      <c r="K56" s="72"/>
      <c r="L56" s="62"/>
      <c r="M56" s="80"/>
      <c r="N56" s="61"/>
      <c r="O56" s="74" t="str">
        <f>+A56</f>
        <v>ROUNDUP WEATHERMAX</v>
      </c>
      <c r="P56" s="285">
        <v>45222</v>
      </c>
      <c r="Q56" s="218"/>
      <c r="R56" s="218"/>
      <c r="S56" s="218"/>
      <c r="T56" s="35"/>
      <c r="U56" s="35"/>
      <c r="V56" s="38"/>
      <c r="W56" s="36" t="s">
        <v>483</v>
      </c>
      <c r="X56" s="36" t="s">
        <v>153</v>
      </c>
      <c r="Z56" s="37" t="s">
        <v>54</v>
      </c>
      <c r="AA56" s="148" t="s">
        <v>232</v>
      </c>
    </row>
    <row r="57" spans="1:29" x14ac:dyDescent="0.25">
      <c r="A57" s="70" t="s">
        <v>190</v>
      </c>
      <c r="B57" s="215" t="s">
        <v>230</v>
      </c>
      <c r="C57" s="208">
        <v>1200</v>
      </c>
      <c r="D57" s="208" t="s">
        <v>76</v>
      </c>
      <c r="E57" s="262">
        <v>0</v>
      </c>
      <c r="F57" s="70">
        <v>80</v>
      </c>
      <c r="G57" s="203">
        <f t="shared" si="4"/>
        <v>0</v>
      </c>
      <c r="H57" s="60">
        <v>0</v>
      </c>
      <c r="I57" s="79">
        <f t="shared" si="5"/>
        <v>0</v>
      </c>
      <c r="J57" s="68">
        <f t="shared" si="6"/>
        <v>0</v>
      </c>
      <c r="K57" s="72"/>
      <c r="L57" s="62">
        <f>IF( $B$3 = 1,  SUM(G54:G57), SUM(H54:H57) )</f>
        <v>0</v>
      </c>
      <c r="M57" s="80">
        <f>SUM(I54:I57)</f>
        <v>0</v>
      </c>
      <c r="N57" s="61">
        <f>SUM(J54:J57)</f>
        <v>0</v>
      </c>
      <c r="O57" s="74" t="str">
        <f>+A57</f>
        <v>ROUNDUP WEATHERMAX</v>
      </c>
      <c r="P57" s="285">
        <v>45222</v>
      </c>
      <c r="Q57" s="218"/>
      <c r="R57" s="218"/>
      <c r="S57" s="218"/>
      <c r="T57" s="35"/>
      <c r="U57" s="35"/>
      <c r="V57" s="38"/>
      <c r="W57" s="36" t="s">
        <v>483</v>
      </c>
      <c r="X57" s="36" t="s">
        <v>153</v>
      </c>
      <c r="Z57" s="37" t="s">
        <v>54</v>
      </c>
      <c r="AA57" s="148" t="s">
        <v>233</v>
      </c>
    </row>
    <row r="58" spans="1:29" x14ac:dyDescent="0.25">
      <c r="A58" s="70" t="s">
        <v>118</v>
      </c>
      <c r="B58" s="213" t="s">
        <v>312</v>
      </c>
      <c r="C58" s="70">
        <v>324.10000000000002</v>
      </c>
      <c r="D58" s="208" t="s">
        <v>76</v>
      </c>
      <c r="E58" s="262">
        <v>5788</v>
      </c>
      <c r="F58" s="70">
        <v>54.02</v>
      </c>
      <c r="G58" s="203">
        <f t="shared" si="4"/>
        <v>0</v>
      </c>
      <c r="H58" s="60">
        <v>0</v>
      </c>
      <c r="I58" s="79">
        <f t="shared" si="5"/>
        <v>0</v>
      </c>
      <c r="J58" s="68">
        <f t="shared" si="6"/>
        <v>0</v>
      </c>
      <c r="K58" s="72"/>
      <c r="L58" s="62"/>
      <c r="M58" s="80"/>
      <c r="N58" s="61"/>
      <c r="O58" s="74"/>
      <c r="P58" s="285">
        <v>45222</v>
      </c>
      <c r="Q58" s="218"/>
      <c r="R58" s="218"/>
      <c r="S58" s="218"/>
      <c r="T58" s="35"/>
      <c r="U58" s="35"/>
      <c r="V58" s="38"/>
      <c r="W58" s="39"/>
      <c r="X58" s="36" t="s">
        <v>153</v>
      </c>
      <c r="Z58" s="37" t="s">
        <v>55</v>
      </c>
      <c r="AA58" s="148" t="s">
        <v>219</v>
      </c>
    </row>
    <row r="59" spans="1:29" x14ac:dyDescent="0.25">
      <c r="A59" s="70" t="s">
        <v>118</v>
      </c>
      <c r="B59" s="213" t="s">
        <v>311</v>
      </c>
      <c r="C59" s="70">
        <v>5</v>
      </c>
      <c r="D59" s="208" t="s">
        <v>75</v>
      </c>
      <c r="E59" s="262">
        <v>107</v>
      </c>
      <c r="F59" s="70">
        <v>1</v>
      </c>
      <c r="G59" s="203">
        <f t="shared" si="4"/>
        <v>0</v>
      </c>
      <c r="H59" s="60">
        <v>0</v>
      </c>
      <c r="I59" s="79">
        <f t="shared" si="5"/>
        <v>0</v>
      </c>
      <c r="J59" s="68">
        <f t="shared" si="6"/>
        <v>0</v>
      </c>
      <c r="K59" s="72"/>
      <c r="L59" s="62">
        <f>IF( $B$3 = 1,  SUM(G58:G59), SUM(H58:H59) )</f>
        <v>0</v>
      </c>
      <c r="M59" s="80">
        <f>SUM(I58:I59)</f>
        <v>0</v>
      </c>
      <c r="N59" s="61">
        <f>SUM(J58:J59)</f>
        <v>0</v>
      </c>
      <c r="O59" s="73" t="str">
        <f>+A59</f>
        <v>SERENADE SOIL</v>
      </c>
      <c r="P59" s="285">
        <v>45222</v>
      </c>
      <c r="Q59" s="218"/>
      <c r="R59" s="218"/>
      <c r="S59" s="218"/>
      <c r="T59" s="35"/>
      <c r="U59" s="35"/>
      <c r="V59" s="38"/>
      <c r="W59" s="39"/>
      <c r="X59" s="36" t="s">
        <v>153</v>
      </c>
      <c r="Z59" s="37" t="s">
        <v>55</v>
      </c>
      <c r="AA59" s="148" t="s">
        <v>130</v>
      </c>
    </row>
    <row r="60" spans="1:29" x14ac:dyDescent="0.25">
      <c r="A60" s="70" t="s">
        <v>115</v>
      </c>
      <c r="B60" s="211" t="s">
        <v>295</v>
      </c>
      <c r="C60" s="283">
        <v>7</v>
      </c>
      <c r="D60" s="208" t="s">
        <v>75</v>
      </c>
      <c r="E60" s="684">
        <v>168.5</v>
      </c>
      <c r="F60" s="218">
        <v>1</v>
      </c>
      <c r="G60" s="203">
        <f t="shared" ref="G60:G88" si="8">IF(B$3 =1, H60*C60, H60/C60)</f>
        <v>0</v>
      </c>
      <c r="H60" s="60">
        <f>+Purchases!G59</f>
        <v>0</v>
      </c>
      <c r="I60" s="284">
        <f t="shared" ref="I60:I88" si="9">IF(B$3 = 1, H60*E60, (H60/C60) *E60)</f>
        <v>0</v>
      </c>
      <c r="J60" s="68">
        <f t="shared" ref="J60:J87" si="10">IF($B$3 =1, H60*F60, (H60/C60) *F60)</f>
        <v>0</v>
      </c>
      <c r="K60" s="72"/>
      <c r="L60" s="62"/>
      <c r="M60" s="80"/>
      <c r="N60" s="61"/>
      <c r="O60" s="74"/>
      <c r="P60" s="285">
        <v>45597</v>
      </c>
      <c r="Q60" s="218"/>
      <c r="R60" s="218"/>
      <c r="S60" s="218"/>
      <c r="T60" s="35"/>
      <c r="U60" s="35"/>
      <c r="V60" s="38"/>
      <c r="W60" s="39"/>
      <c r="X60" s="36" t="s">
        <v>153</v>
      </c>
      <c r="Z60" s="37" t="s">
        <v>55</v>
      </c>
      <c r="AA60" s="148" t="s">
        <v>127</v>
      </c>
    </row>
    <row r="61" spans="1:29" x14ac:dyDescent="0.25">
      <c r="A61" s="70" t="s">
        <v>115</v>
      </c>
      <c r="B61" s="211" t="s">
        <v>296</v>
      </c>
      <c r="C61" s="283">
        <v>20</v>
      </c>
      <c r="D61" s="208" t="s">
        <v>76</v>
      </c>
      <c r="E61" s="684">
        <v>511.5</v>
      </c>
      <c r="F61" s="219">
        <v>2.8570000000000002</v>
      </c>
      <c r="G61" s="203">
        <f t="shared" si="8"/>
        <v>0</v>
      </c>
      <c r="H61" s="60">
        <f>+Purchases!G60</f>
        <v>0</v>
      </c>
      <c r="I61" s="79">
        <f t="shared" si="9"/>
        <v>0</v>
      </c>
      <c r="J61" s="68">
        <f t="shared" si="10"/>
        <v>0</v>
      </c>
      <c r="K61" s="72"/>
      <c r="L61" s="62">
        <f>IF( $B$3 = 1,  SUM(G60:G61), SUM(H60:H61) )</f>
        <v>0</v>
      </c>
      <c r="M61" s="80">
        <f>+I60+I61</f>
        <v>0</v>
      </c>
      <c r="N61" s="61">
        <f>+J60+J61</f>
        <v>0</v>
      </c>
      <c r="O61" s="74" t="str">
        <f>+A61</f>
        <v>SCALA</v>
      </c>
      <c r="P61" s="285">
        <v>45597</v>
      </c>
      <c r="Q61" s="218"/>
      <c r="R61" s="218"/>
      <c r="S61" s="218"/>
      <c r="T61" s="35"/>
      <c r="U61" s="35"/>
      <c r="V61" s="38"/>
      <c r="W61" s="36" t="s">
        <v>483</v>
      </c>
      <c r="X61" s="36" t="s">
        <v>153</v>
      </c>
      <c r="Z61" s="37" t="s">
        <v>55</v>
      </c>
      <c r="AA61" s="148" t="s">
        <v>220</v>
      </c>
    </row>
    <row r="62" spans="1:29" x14ac:dyDescent="0.25">
      <c r="A62" s="210" t="s">
        <v>91</v>
      </c>
      <c r="B62" s="213" t="s">
        <v>5</v>
      </c>
      <c r="C62" s="220">
        <v>23</v>
      </c>
      <c r="D62" s="208" t="s">
        <v>75</v>
      </c>
      <c r="E62" s="262">
        <v>0</v>
      </c>
      <c r="F62" s="208">
        <v>1</v>
      </c>
      <c r="G62" s="203">
        <f t="shared" si="8"/>
        <v>0</v>
      </c>
      <c r="H62" s="60">
        <v>0</v>
      </c>
      <c r="I62" s="79">
        <f t="shared" si="9"/>
        <v>0</v>
      </c>
      <c r="J62" s="68">
        <f t="shared" si="10"/>
        <v>0</v>
      </c>
      <c r="K62" s="72"/>
      <c r="L62" s="62">
        <f>IF( $B$3 = 1,  G62,H62 )</f>
        <v>0</v>
      </c>
      <c r="M62" s="80">
        <f t="shared" ref="M62:N65" si="11">+I62</f>
        <v>0</v>
      </c>
      <c r="N62" s="61">
        <f t="shared" si="11"/>
        <v>0</v>
      </c>
      <c r="O62" s="74" t="str">
        <f>+A62</f>
        <v>SENCOR</v>
      </c>
      <c r="P62" s="285">
        <v>45222</v>
      </c>
      <c r="Q62" s="218"/>
      <c r="R62" s="218"/>
      <c r="S62" s="218"/>
      <c r="T62" s="35"/>
      <c r="U62" s="35"/>
      <c r="V62" s="38"/>
      <c r="X62" s="36" t="s">
        <v>153</v>
      </c>
      <c r="Z62" s="37" t="s">
        <v>54</v>
      </c>
      <c r="AA62" s="148" t="s">
        <v>35</v>
      </c>
    </row>
    <row r="63" spans="1:29" x14ac:dyDescent="0.25">
      <c r="A63" s="210" t="s">
        <v>113</v>
      </c>
      <c r="B63" s="211" t="s">
        <v>297</v>
      </c>
      <c r="C63" s="216">
        <v>28</v>
      </c>
      <c r="D63" s="208" t="s">
        <v>75</v>
      </c>
      <c r="E63" s="684">
        <v>189.75</v>
      </c>
      <c r="F63" s="208">
        <v>1</v>
      </c>
      <c r="G63" s="203">
        <f t="shared" si="8"/>
        <v>0</v>
      </c>
      <c r="H63" s="60">
        <f>+Purchases!G36</f>
        <v>0</v>
      </c>
      <c r="I63" s="79">
        <f t="shared" si="9"/>
        <v>0</v>
      </c>
      <c r="J63" s="68">
        <f t="shared" si="10"/>
        <v>0</v>
      </c>
      <c r="K63" s="72"/>
      <c r="L63" s="62">
        <f>IF( $B$3 = 1,  G63,H63 )</f>
        <v>0</v>
      </c>
      <c r="M63" s="80">
        <f t="shared" si="11"/>
        <v>0</v>
      </c>
      <c r="N63" s="61">
        <f t="shared" si="11"/>
        <v>0</v>
      </c>
      <c r="O63" s="74" t="str">
        <f>+A63</f>
        <v>SENCOR 75 DF</v>
      </c>
      <c r="P63" s="285">
        <v>45597</v>
      </c>
      <c r="Q63" s="218"/>
      <c r="R63" s="218"/>
      <c r="S63" s="218"/>
      <c r="T63" s="35"/>
      <c r="U63" s="35"/>
      <c r="V63" s="38"/>
      <c r="W63" s="39"/>
      <c r="X63" s="36" t="s">
        <v>153</v>
      </c>
      <c r="Z63" s="37" t="s">
        <v>54</v>
      </c>
      <c r="AA63" s="148" t="s">
        <v>35</v>
      </c>
      <c r="AB63" s="26" t="s">
        <v>243</v>
      </c>
    </row>
    <row r="64" spans="1:29" x14ac:dyDescent="0.25">
      <c r="A64" s="210" t="s">
        <v>92</v>
      </c>
      <c r="B64" s="211" t="s">
        <v>262</v>
      </c>
      <c r="C64" s="216">
        <v>1323</v>
      </c>
      <c r="D64" s="208" t="s">
        <v>75</v>
      </c>
      <c r="E64" s="684">
        <v>4709.25</v>
      </c>
      <c r="F64" s="70">
        <v>1</v>
      </c>
      <c r="G64" s="203">
        <f t="shared" si="8"/>
        <v>0</v>
      </c>
      <c r="H64" s="60">
        <f>+Purchases!G23</f>
        <v>0</v>
      </c>
      <c r="I64" s="79">
        <f t="shared" si="9"/>
        <v>0</v>
      </c>
      <c r="J64" s="68">
        <f t="shared" si="10"/>
        <v>0</v>
      </c>
      <c r="K64" s="72"/>
      <c r="L64" s="62">
        <f>IF( $B$3 = 1,  G64,H64 )</f>
        <v>0</v>
      </c>
      <c r="M64" s="80">
        <f t="shared" si="11"/>
        <v>0</v>
      </c>
      <c r="N64" s="61">
        <f t="shared" si="11"/>
        <v>0</v>
      </c>
      <c r="O64" s="74" t="str">
        <f>+A64</f>
        <v>STRESS SHIELD</v>
      </c>
      <c r="P64" s="285">
        <v>45597</v>
      </c>
      <c r="Q64" s="218"/>
      <c r="R64" s="218"/>
      <c r="S64" s="218"/>
      <c r="T64" s="35"/>
      <c r="U64" s="35"/>
      <c r="V64" s="38"/>
      <c r="W64" s="39"/>
      <c r="X64" s="36" t="s">
        <v>153</v>
      </c>
      <c r="Z64" s="37" t="s">
        <v>56</v>
      </c>
      <c r="AA64" s="148" t="s">
        <v>37</v>
      </c>
    </row>
    <row r="65" spans="1:30" x14ac:dyDescent="0.25">
      <c r="A65" s="70" t="s">
        <v>112</v>
      </c>
      <c r="B65" s="211" t="s">
        <v>298</v>
      </c>
      <c r="C65" s="216">
        <v>10</v>
      </c>
      <c r="D65" s="208" t="s">
        <v>75</v>
      </c>
      <c r="E65" s="684">
        <v>244.25</v>
      </c>
      <c r="F65" s="70">
        <v>1</v>
      </c>
      <c r="G65" s="203">
        <f t="shared" si="8"/>
        <v>0</v>
      </c>
      <c r="H65" s="60">
        <f>+Purchases!G22</f>
        <v>0</v>
      </c>
      <c r="I65" s="79">
        <f t="shared" si="9"/>
        <v>0</v>
      </c>
      <c r="J65" s="68">
        <f t="shared" si="10"/>
        <v>0</v>
      </c>
      <c r="K65" s="72"/>
      <c r="L65" s="62">
        <f>IF( $B$3 = 1,  G65,H65 )</f>
        <v>0</v>
      </c>
      <c r="M65" s="80">
        <f t="shared" si="11"/>
        <v>0</v>
      </c>
      <c r="N65" s="61">
        <f t="shared" si="11"/>
        <v>0</v>
      </c>
      <c r="O65" s="74" t="str">
        <f>+A65</f>
        <v>SIVANTO PRIME</v>
      </c>
      <c r="P65" s="285">
        <v>45597</v>
      </c>
      <c r="Q65" s="218"/>
      <c r="R65" s="218"/>
      <c r="S65" s="218"/>
      <c r="T65" s="35"/>
      <c r="U65" s="35"/>
      <c r="V65" s="38"/>
      <c r="W65" s="39"/>
      <c r="X65" s="36" t="s">
        <v>153</v>
      </c>
      <c r="Z65" s="37" t="s">
        <v>55</v>
      </c>
      <c r="AA65" s="148" t="s">
        <v>127</v>
      </c>
    </row>
    <row r="66" spans="1:30" x14ac:dyDescent="0.25">
      <c r="A66" s="210" t="s">
        <v>93</v>
      </c>
      <c r="B66" s="211" t="s">
        <v>300</v>
      </c>
      <c r="C66" s="216">
        <v>20</v>
      </c>
      <c r="D66" s="208" t="s">
        <v>75</v>
      </c>
      <c r="E66" s="684">
        <v>178.25</v>
      </c>
      <c r="F66" s="70">
        <v>1</v>
      </c>
      <c r="G66" s="203">
        <f t="shared" si="8"/>
        <v>0</v>
      </c>
      <c r="H66" s="60">
        <f>+Purchases!G37</f>
        <v>0</v>
      </c>
      <c r="I66" s="79">
        <f t="shared" si="9"/>
        <v>0</v>
      </c>
      <c r="J66" s="68">
        <f t="shared" si="10"/>
        <v>0</v>
      </c>
      <c r="K66" s="72"/>
      <c r="L66" s="62"/>
      <c r="M66" s="80"/>
      <c r="N66" s="61"/>
      <c r="O66" s="74"/>
      <c r="P66" s="285">
        <v>45597</v>
      </c>
      <c r="Q66" s="218"/>
      <c r="R66" s="218"/>
      <c r="S66" s="218"/>
      <c r="T66" s="35"/>
      <c r="U66" s="35"/>
      <c r="V66" s="38"/>
      <c r="W66" s="39"/>
      <c r="X66" s="36" t="s">
        <v>153</v>
      </c>
      <c r="Z66" s="37" t="s">
        <v>54</v>
      </c>
      <c r="AA66" s="148" t="s">
        <v>15</v>
      </c>
    </row>
    <row r="67" spans="1:30" x14ac:dyDescent="0.25">
      <c r="A67" s="210" t="s">
        <v>93</v>
      </c>
      <c r="B67" s="211" t="s">
        <v>299</v>
      </c>
      <c r="C67" s="216">
        <v>320</v>
      </c>
      <c r="D67" s="208" t="s">
        <v>76</v>
      </c>
      <c r="E67" s="684">
        <v>2852</v>
      </c>
      <c r="F67" s="70">
        <v>16</v>
      </c>
      <c r="G67" s="203">
        <f t="shared" si="8"/>
        <v>0</v>
      </c>
      <c r="H67" s="60">
        <f>+Purchases!G38</f>
        <v>0</v>
      </c>
      <c r="I67" s="79">
        <f t="shared" si="9"/>
        <v>0</v>
      </c>
      <c r="J67" s="68">
        <f t="shared" si="10"/>
        <v>0</v>
      </c>
      <c r="K67" s="72"/>
      <c r="L67" s="62"/>
      <c r="M67" s="80"/>
      <c r="N67" s="61"/>
      <c r="O67" s="74"/>
      <c r="P67" s="285">
        <v>45597</v>
      </c>
      <c r="Q67" s="218"/>
      <c r="R67" s="218"/>
      <c r="S67" s="218"/>
      <c r="T67" s="35"/>
      <c r="U67" s="35"/>
      <c r="V67" s="38"/>
      <c r="W67" s="39"/>
      <c r="X67" s="36" t="s">
        <v>153</v>
      </c>
      <c r="Z67" s="37" t="s">
        <v>54</v>
      </c>
      <c r="AA67" s="148" t="s">
        <v>201</v>
      </c>
    </row>
    <row r="68" spans="1:30" x14ac:dyDescent="0.25">
      <c r="A68" s="210" t="s">
        <v>93</v>
      </c>
      <c r="B68" s="211" t="s">
        <v>301</v>
      </c>
      <c r="C68" s="216">
        <v>1000</v>
      </c>
      <c r="D68" s="208" t="s">
        <v>76</v>
      </c>
      <c r="E68" s="684">
        <v>8912.5</v>
      </c>
      <c r="F68" s="70">
        <v>50</v>
      </c>
      <c r="G68" s="203">
        <f t="shared" si="8"/>
        <v>0</v>
      </c>
      <c r="H68" s="60">
        <f>+Purchases!G39</f>
        <v>0</v>
      </c>
      <c r="I68" s="79">
        <f t="shared" si="9"/>
        <v>0</v>
      </c>
      <c r="J68" s="68">
        <f t="shared" si="10"/>
        <v>0</v>
      </c>
      <c r="K68" s="72"/>
      <c r="L68" s="62">
        <f>IF( $B$3 = 1,  SUM(G66:G68), SUM(H66:H68) )</f>
        <v>0</v>
      </c>
      <c r="M68" s="80">
        <f>SUM(I66:I68)</f>
        <v>0</v>
      </c>
      <c r="N68" s="61">
        <f>SUM(J66:J68)</f>
        <v>0</v>
      </c>
      <c r="O68" s="74" t="str">
        <f>+A68</f>
        <v>THUMPER</v>
      </c>
      <c r="P68" s="285">
        <v>45597</v>
      </c>
      <c r="Q68" s="218"/>
      <c r="R68" s="218"/>
      <c r="S68" s="218"/>
      <c r="T68" s="35"/>
      <c r="U68" s="35"/>
      <c r="V68" s="38"/>
      <c r="W68" s="39"/>
      <c r="X68" s="36" t="s">
        <v>153</v>
      </c>
      <c r="Z68" s="37" t="s">
        <v>54</v>
      </c>
      <c r="AA68" s="148" t="s">
        <v>202</v>
      </c>
    </row>
    <row r="69" spans="1:30" x14ac:dyDescent="0.25">
      <c r="A69" s="210" t="s">
        <v>195</v>
      </c>
      <c r="B69" s="211" t="s">
        <v>388</v>
      </c>
      <c r="C69" s="216">
        <v>40</v>
      </c>
      <c r="D69" s="208" t="s">
        <v>75</v>
      </c>
      <c r="E69" s="684">
        <v>597</v>
      </c>
      <c r="F69" s="70">
        <v>1</v>
      </c>
      <c r="G69" s="203">
        <f>IF(B$3 =1, H69*C69, H69/C69)</f>
        <v>0</v>
      </c>
      <c r="H69" s="60">
        <f>+Purchases!G61</f>
        <v>0</v>
      </c>
      <c r="I69" s="79">
        <f>IF(B$3 = 1, H69*E69, (H69/C69) *E69)</f>
        <v>0</v>
      </c>
      <c r="J69" s="68">
        <f>IF($B$3 =1, H69*F69, (H69/C69) *F69)</f>
        <v>0</v>
      </c>
      <c r="K69" s="72"/>
      <c r="L69" s="62">
        <f>IF( $B$3 = 1,  G69,H69 )</f>
        <v>0</v>
      </c>
      <c r="M69" s="80">
        <f>+I69</f>
        <v>0</v>
      </c>
      <c r="N69" s="61">
        <f>+J69</f>
        <v>0</v>
      </c>
      <c r="O69" s="74" t="str">
        <f>+A69</f>
        <v>TILMOR</v>
      </c>
      <c r="P69" s="285">
        <v>45597</v>
      </c>
      <c r="Q69" s="218"/>
      <c r="R69" s="218"/>
      <c r="S69" s="218"/>
      <c r="T69" s="35"/>
      <c r="U69" s="35"/>
      <c r="V69" s="38"/>
      <c r="W69" s="39"/>
      <c r="X69" s="36" t="s">
        <v>153</v>
      </c>
      <c r="Z69" s="37" t="s">
        <v>55</v>
      </c>
      <c r="AA69" s="148" t="s">
        <v>234</v>
      </c>
    </row>
    <row r="70" spans="1:30" x14ac:dyDescent="0.25">
      <c r="A70" s="210" t="s">
        <v>94</v>
      </c>
      <c r="B70" s="211" t="s">
        <v>302</v>
      </c>
      <c r="C70" s="216">
        <v>110</v>
      </c>
      <c r="D70" s="208" t="s">
        <v>75</v>
      </c>
      <c r="E70" s="684">
        <v>1316.5</v>
      </c>
      <c r="F70" s="70">
        <v>1</v>
      </c>
      <c r="G70" s="203">
        <f t="shared" si="8"/>
        <v>0</v>
      </c>
      <c r="H70" s="60">
        <f>+Purchases!G24</f>
        <v>0</v>
      </c>
      <c r="I70" s="79">
        <f t="shared" si="9"/>
        <v>0</v>
      </c>
      <c r="J70" s="68">
        <f t="shared" si="10"/>
        <v>0</v>
      </c>
      <c r="K70" s="72"/>
      <c r="L70" s="62"/>
      <c r="M70" s="80"/>
      <c r="N70" s="61"/>
      <c r="O70" s="74"/>
      <c r="P70" s="285">
        <v>45597</v>
      </c>
      <c r="Q70" s="218"/>
      <c r="R70" s="218"/>
      <c r="S70" s="218"/>
      <c r="T70" s="35"/>
      <c r="U70" s="35"/>
      <c r="V70" s="38"/>
      <c r="W70" s="39"/>
      <c r="X70" s="36" t="s">
        <v>153</v>
      </c>
      <c r="Z70" s="37" t="s">
        <v>56</v>
      </c>
      <c r="AA70" s="148" t="s">
        <v>221</v>
      </c>
    </row>
    <row r="71" spans="1:30" x14ac:dyDescent="0.25">
      <c r="A71" s="70" t="s">
        <v>94</v>
      </c>
      <c r="B71" s="211" t="s">
        <v>303</v>
      </c>
      <c r="C71" s="282">
        <v>475.93</v>
      </c>
      <c r="D71" s="208" t="s">
        <v>76</v>
      </c>
      <c r="E71" s="684">
        <v>5696.5</v>
      </c>
      <c r="F71" s="70">
        <v>4.33</v>
      </c>
      <c r="G71" s="203">
        <f t="shared" si="8"/>
        <v>0</v>
      </c>
      <c r="H71" s="60">
        <f>+Purchases!G25</f>
        <v>0</v>
      </c>
      <c r="I71" s="79">
        <f t="shared" si="9"/>
        <v>0</v>
      </c>
      <c r="J71" s="68">
        <f t="shared" si="10"/>
        <v>0</v>
      </c>
      <c r="K71" s="72"/>
      <c r="L71" s="62">
        <f>IF( $B$3 = 1,  SUM(G70:G71), SUM(H70:H71) )</f>
        <v>0</v>
      </c>
      <c r="M71" s="80">
        <f>SUM(I70:I71)</f>
        <v>0</v>
      </c>
      <c r="N71" s="61">
        <f>SUM(J70:J71)</f>
        <v>0</v>
      </c>
      <c r="O71" s="74" t="str">
        <f>+A70</f>
        <v>TRILEX EVERGOL</v>
      </c>
      <c r="P71" s="285">
        <v>45597</v>
      </c>
      <c r="Q71" s="218"/>
      <c r="R71" s="218"/>
      <c r="S71" s="218"/>
      <c r="T71" s="35"/>
      <c r="U71" s="35"/>
      <c r="V71" s="38"/>
      <c r="W71" s="39"/>
      <c r="X71" s="36" t="s">
        <v>153</v>
      </c>
      <c r="Z71" s="37" t="s">
        <v>56</v>
      </c>
      <c r="AA71" s="148" t="s">
        <v>222</v>
      </c>
    </row>
    <row r="72" spans="1:30" x14ac:dyDescent="0.25">
      <c r="A72" s="210" t="s">
        <v>95</v>
      </c>
      <c r="B72" s="211" t="s">
        <v>402</v>
      </c>
      <c r="C72" s="216">
        <v>110</v>
      </c>
      <c r="D72" s="208" t="s">
        <v>75</v>
      </c>
      <c r="E72" s="684">
        <v>2540.75</v>
      </c>
      <c r="F72" s="70">
        <v>1</v>
      </c>
      <c r="G72" s="203">
        <f t="shared" si="8"/>
        <v>0</v>
      </c>
      <c r="H72" s="60">
        <f>+Purchases!G26</f>
        <v>0</v>
      </c>
      <c r="I72" s="79">
        <f t="shared" si="9"/>
        <v>0</v>
      </c>
      <c r="J72" s="68">
        <f t="shared" si="10"/>
        <v>0</v>
      </c>
      <c r="K72" s="72"/>
      <c r="L72" s="62">
        <f>IF( $B$3 = 1,  G72,H72 )</f>
        <v>0</v>
      </c>
      <c r="M72" s="80">
        <f>+I72</f>
        <v>0</v>
      </c>
      <c r="N72" s="61">
        <f>+J72</f>
        <v>0</v>
      </c>
      <c r="O72" s="74" t="str">
        <f>+A72</f>
        <v>TRILEX EVERGOL SHIELD</v>
      </c>
      <c r="P72" s="285">
        <v>45597</v>
      </c>
      <c r="Q72" s="218"/>
      <c r="R72" s="218"/>
      <c r="S72" s="218"/>
      <c r="T72" s="35"/>
      <c r="U72" s="35"/>
      <c r="V72" s="38"/>
      <c r="W72" s="39"/>
      <c r="X72" s="36" t="s">
        <v>153</v>
      </c>
      <c r="Z72" s="37" t="s">
        <v>56</v>
      </c>
      <c r="AA72" s="148" t="s">
        <v>223</v>
      </c>
      <c r="AC72" s="371" t="str">
        <f>LEFT(B72,23)</f>
        <v>TRILEX® EVERGOL® SHIELD</v>
      </c>
      <c r="AD72" s="371" t="str">
        <f>RIGHT(B72,25)</f>
        <v>(1.5 L + 0.96 L + 6.25 L)</v>
      </c>
    </row>
    <row r="73" spans="1:30" x14ac:dyDescent="0.25">
      <c r="A73" s="210" t="s">
        <v>96</v>
      </c>
      <c r="B73" s="211" t="s">
        <v>306</v>
      </c>
      <c r="C73" s="216">
        <v>10</v>
      </c>
      <c r="D73" s="208" t="s">
        <v>75</v>
      </c>
      <c r="E73" s="684">
        <v>236.5</v>
      </c>
      <c r="F73" s="70">
        <v>1</v>
      </c>
      <c r="G73" s="203">
        <f t="shared" si="8"/>
        <v>0</v>
      </c>
      <c r="H73" s="60">
        <f>+Purchases!G40</f>
        <v>0</v>
      </c>
      <c r="I73" s="79">
        <f t="shared" si="9"/>
        <v>0</v>
      </c>
      <c r="J73" s="68">
        <f t="shared" si="10"/>
        <v>0</v>
      </c>
      <c r="K73" s="72"/>
      <c r="L73" s="62"/>
      <c r="M73" s="80"/>
      <c r="N73" s="61"/>
      <c r="O73" s="74"/>
      <c r="P73" s="285">
        <v>45597</v>
      </c>
      <c r="Q73" s="218"/>
      <c r="R73" s="218"/>
      <c r="S73" s="218"/>
      <c r="T73" s="35"/>
      <c r="U73" s="35"/>
      <c r="V73" s="38"/>
      <c r="W73" s="39"/>
      <c r="X73" s="36" t="s">
        <v>153</v>
      </c>
      <c r="Z73" s="37" t="s">
        <v>54</v>
      </c>
      <c r="AA73" s="148" t="s">
        <v>22</v>
      </c>
    </row>
    <row r="74" spans="1:30" x14ac:dyDescent="0.25">
      <c r="A74" s="210" t="s">
        <v>96</v>
      </c>
      <c r="B74" s="211" t="s">
        <v>307</v>
      </c>
      <c r="C74" s="216">
        <v>160</v>
      </c>
      <c r="D74" s="208" t="s">
        <v>76</v>
      </c>
      <c r="E74" s="684">
        <v>3784</v>
      </c>
      <c r="F74" s="70">
        <v>16</v>
      </c>
      <c r="G74" s="203">
        <f t="shared" si="8"/>
        <v>0</v>
      </c>
      <c r="H74" s="60">
        <f>+Purchases!G41</f>
        <v>0</v>
      </c>
      <c r="I74" s="79">
        <f t="shared" si="9"/>
        <v>0</v>
      </c>
      <c r="J74" s="68">
        <f t="shared" si="10"/>
        <v>0</v>
      </c>
      <c r="K74" s="72"/>
      <c r="L74" s="62"/>
      <c r="M74" s="80"/>
      <c r="N74" s="61"/>
      <c r="O74" s="74"/>
      <c r="P74" s="285">
        <v>45597</v>
      </c>
      <c r="Q74" s="218"/>
      <c r="R74" s="218"/>
      <c r="S74" s="218"/>
      <c r="T74" s="35"/>
      <c r="U74" s="35"/>
      <c r="V74" s="38"/>
      <c r="W74" s="39"/>
      <c r="X74" s="36" t="s">
        <v>153</v>
      </c>
      <c r="Z74" s="37" t="s">
        <v>54</v>
      </c>
      <c r="AA74" s="148" t="s">
        <v>210</v>
      </c>
    </row>
    <row r="75" spans="1:30" x14ac:dyDescent="0.25">
      <c r="A75" s="210" t="s">
        <v>96</v>
      </c>
      <c r="B75" s="211" t="s">
        <v>308</v>
      </c>
      <c r="C75" s="216">
        <v>500</v>
      </c>
      <c r="D75" s="208" t="s">
        <v>76</v>
      </c>
      <c r="E75" s="684">
        <v>11825</v>
      </c>
      <c r="F75" s="70">
        <v>50</v>
      </c>
      <c r="G75" s="203">
        <f t="shared" si="8"/>
        <v>0</v>
      </c>
      <c r="H75" s="60">
        <f>+Purchases!G42</f>
        <v>0</v>
      </c>
      <c r="I75" s="79">
        <f t="shared" si="9"/>
        <v>0</v>
      </c>
      <c r="J75" s="68">
        <f t="shared" si="10"/>
        <v>0</v>
      </c>
      <c r="K75" s="72"/>
      <c r="L75" s="62">
        <f>IF( $B$3 = 1,  SUM(G73:G75), SUM(H73:H75) )</f>
        <v>0</v>
      </c>
      <c r="M75" s="80">
        <f>SUM(I73:I75)</f>
        <v>0</v>
      </c>
      <c r="N75" s="61">
        <f>SUM(J73:J75)</f>
        <v>0</v>
      </c>
      <c r="O75" s="74" t="str">
        <f>+A75</f>
        <v>TUNDRA</v>
      </c>
      <c r="P75" s="285">
        <v>45597</v>
      </c>
      <c r="Q75" s="218"/>
      <c r="R75" s="218"/>
      <c r="S75" s="218"/>
      <c r="T75" s="35"/>
      <c r="U75" s="35"/>
      <c r="V75" s="38"/>
      <c r="W75" s="39"/>
      <c r="X75" s="36" t="s">
        <v>153</v>
      </c>
      <c r="Z75" s="37" t="s">
        <v>54</v>
      </c>
      <c r="AA75" s="148" t="s">
        <v>209</v>
      </c>
    </row>
    <row r="76" spans="1:30" x14ac:dyDescent="0.25">
      <c r="A76" s="210" t="s">
        <v>97</v>
      </c>
      <c r="B76" s="211" t="s">
        <v>305</v>
      </c>
      <c r="C76" s="216">
        <v>40</v>
      </c>
      <c r="D76" s="208" t="s">
        <v>75</v>
      </c>
      <c r="E76" s="684">
        <v>794.25</v>
      </c>
      <c r="F76" s="70">
        <v>1</v>
      </c>
      <c r="G76" s="203">
        <f t="shared" si="8"/>
        <v>0</v>
      </c>
      <c r="H76" s="60">
        <f>+Purchases!G43</f>
        <v>0</v>
      </c>
      <c r="I76" s="79">
        <f t="shared" si="9"/>
        <v>0</v>
      </c>
      <c r="J76" s="68">
        <f t="shared" si="10"/>
        <v>0</v>
      </c>
      <c r="K76" s="72"/>
      <c r="L76" s="62"/>
      <c r="M76" s="80"/>
      <c r="N76" s="61"/>
      <c r="O76" s="74" t="s">
        <v>121</v>
      </c>
      <c r="P76" s="285">
        <v>45597</v>
      </c>
      <c r="Q76" s="218"/>
      <c r="R76" s="218"/>
      <c r="S76" s="218"/>
      <c r="T76" s="35"/>
      <c r="U76" s="35"/>
      <c r="V76" s="38"/>
      <c r="W76" s="39"/>
      <c r="X76" s="36" t="s">
        <v>153</v>
      </c>
      <c r="Z76" s="37" t="s">
        <v>54</v>
      </c>
      <c r="AA76" s="148" t="s">
        <v>15</v>
      </c>
    </row>
    <row r="77" spans="1:30" x14ac:dyDescent="0.25">
      <c r="A77" s="210" t="s">
        <v>97</v>
      </c>
      <c r="B77" s="213" t="s">
        <v>151</v>
      </c>
      <c r="C77" s="70">
        <v>640</v>
      </c>
      <c r="D77" s="208" t="s">
        <v>76</v>
      </c>
      <c r="E77" s="262">
        <v>0</v>
      </c>
      <c r="F77" s="70">
        <v>16</v>
      </c>
      <c r="G77" s="203">
        <f t="shared" si="8"/>
        <v>0</v>
      </c>
      <c r="H77" s="60">
        <v>0</v>
      </c>
      <c r="I77" s="79">
        <f t="shared" si="9"/>
        <v>0</v>
      </c>
      <c r="J77" s="68">
        <f t="shared" si="10"/>
        <v>0</v>
      </c>
      <c r="K77" s="72"/>
      <c r="L77" s="62">
        <f>IF( $B$3 = 1,  SUM(G76:G77), SUM(H76:H77) )</f>
        <v>0</v>
      </c>
      <c r="M77" s="80">
        <f>SUM(I76:I77)</f>
        <v>0</v>
      </c>
      <c r="N77" s="61">
        <f>SUM(J76:J77)</f>
        <v>0</v>
      </c>
      <c r="O77" s="74" t="str">
        <f>+A77</f>
        <v>VARRO</v>
      </c>
      <c r="P77" s="285">
        <v>45222</v>
      </c>
      <c r="Q77" s="218"/>
      <c r="R77" s="218"/>
      <c r="S77" s="218"/>
      <c r="T77" s="35"/>
      <c r="U77" s="35"/>
      <c r="V77" s="38"/>
      <c r="W77" s="36" t="s">
        <v>483</v>
      </c>
      <c r="X77" s="36" t="s">
        <v>153</v>
      </c>
      <c r="Z77" s="37" t="s">
        <v>54</v>
      </c>
      <c r="AA77" s="148" t="s">
        <v>201</v>
      </c>
    </row>
    <row r="78" spans="1:30" x14ac:dyDescent="0.25">
      <c r="A78" s="210" t="s">
        <v>116</v>
      </c>
      <c r="B78" s="211" t="s">
        <v>309</v>
      </c>
      <c r="C78" s="216">
        <v>20</v>
      </c>
      <c r="D78" s="208" t="s">
        <v>75</v>
      </c>
      <c r="E78" s="684">
        <v>1405.25</v>
      </c>
      <c r="F78" s="70">
        <v>1</v>
      </c>
      <c r="G78" s="203">
        <f t="shared" si="8"/>
        <v>0</v>
      </c>
      <c r="H78" s="60">
        <f>+Purchases!G62</f>
        <v>0</v>
      </c>
      <c r="I78" s="79">
        <f t="shared" si="9"/>
        <v>0</v>
      </c>
      <c r="J78" s="68">
        <f t="shared" si="10"/>
        <v>0</v>
      </c>
      <c r="K78" s="72"/>
      <c r="L78" s="62">
        <f>IF( $B$3 = 1,  G78,H78 )</f>
        <v>0</v>
      </c>
      <c r="M78" s="80">
        <f>+I78</f>
        <v>0</v>
      </c>
      <c r="N78" s="61">
        <f>+J78</f>
        <v>0</v>
      </c>
      <c r="O78" s="74" t="str">
        <f>+A78</f>
        <v>VELUM PRIME</v>
      </c>
      <c r="P78" s="285">
        <v>45597</v>
      </c>
      <c r="Q78" s="218"/>
      <c r="R78" s="218"/>
      <c r="S78" s="218"/>
      <c r="T78" s="35"/>
      <c r="U78" s="35"/>
      <c r="V78" s="38"/>
      <c r="W78" s="39"/>
      <c r="X78" s="36" t="s">
        <v>153</v>
      </c>
      <c r="Z78" s="37" t="s">
        <v>55</v>
      </c>
      <c r="AA78" s="148" t="s">
        <v>132</v>
      </c>
    </row>
    <row r="79" spans="1:30" x14ac:dyDescent="0.25">
      <c r="A79" s="210" t="s">
        <v>479</v>
      </c>
      <c r="B79" s="211" t="s">
        <v>469</v>
      </c>
      <c r="C79" s="216">
        <v>20</v>
      </c>
      <c r="D79" s="208" t="s">
        <v>75</v>
      </c>
      <c r="E79" s="684">
        <v>630.25</v>
      </c>
      <c r="F79" s="70">
        <v>1</v>
      </c>
      <c r="G79" s="203">
        <f t="shared" si="8"/>
        <v>0</v>
      </c>
      <c r="H79" s="60">
        <f>+Purchases!G46</f>
        <v>0</v>
      </c>
      <c r="I79" s="79">
        <f t="shared" si="9"/>
        <v>0</v>
      </c>
      <c r="J79" s="68">
        <f t="shared" si="10"/>
        <v>0</v>
      </c>
      <c r="K79" s="72"/>
      <c r="L79" s="62"/>
      <c r="M79" s="80"/>
      <c r="N79" s="61"/>
      <c r="O79" s="74"/>
      <c r="P79" s="285">
        <v>45597</v>
      </c>
      <c r="Q79" s="218"/>
      <c r="R79" s="218"/>
      <c r="S79" s="218"/>
      <c r="T79" s="35"/>
      <c r="U79" s="35"/>
      <c r="V79" s="38"/>
      <c r="W79" s="39"/>
      <c r="X79" s="36" t="s">
        <v>153</v>
      </c>
      <c r="Z79" s="37" t="s">
        <v>54</v>
      </c>
      <c r="AA79" s="148" t="s">
        <v>22</v>
      </c>
    </row>
    <row r="80" spans="1:30" x14ac:dyDescent="0.25">
      <c r="A80" s="210" t="s">
        <v>479</v>
      </c>
      <c r="B80" s="211" t="s">
        <v>470</v>
      </c>
      <c r="C80" s="216">
        <v>320</v>
      </c>
      <c r="D80" s="208" t="s">
        <v>76</v>
      </c>
      <c r="E80" s="684">
        <v>10084</v>
      </c>
      <c r="F80" s="70">
        <v>16</v>
      </c>
      <c r="G80" s="203">
        <f t="shared" si="8"/>
        <v>0</v>
      </c>
      <c r="H80" s="60">
        <f>+Purchases!G47</f>
        <v>0</v>
      </c>
      <c r="I80" s="79">
        <f t="shared" si="9"/>
        <v>0</v>
      </c>
      <c r="J80" s="68">
        <f t="shared" si="10"/>
        <v>0</v>
      </c>
      <c r="K80" s="72"/>
      <c r="L80" s="62">
        <f>IF( $B$3 = 1,  SUM(G79:G80), SUM(H79:H80) )</f>
        <v>0</v>
      </c>
      <c r="M80" s="80">
        <f>SUM(I79:I80)</f>
        <v>0</v>
      </c>
      <c r="N80" s="61">
        <f>SUM(J79:J80)</f>
        <v>0</v>
      </c>
      <c r="O80" s="74" t="str">
        <f>+A80</f>
        <v>VELOCITY ALL-IN-ONE</v>
      </c>
      <c r="P80" s="285">
        <v>45597</v>
      </c>
      <c r="Q80" s="218"/>
      <c r="R80" s="218"/>
      <c r="S80" s="218"/>
      <c r="T80" s="35"/>
      <c r="U80" s="35"/>
      <c r="V80" s="38"/>
      <c r="W80" s="39"/>
      <c r="X80" s="36" t="s">
        <v>153</v>
      </c>
      <c r="Z80" s="37" t="s">
        <v>54</v>
      </c>
      <c r="AA80" s="148" t="s">
        <v>210</v>
      </c>
    </row>
    <row r="81" spans="1:31" x14ac:dyDescent="0.25">
      <c r="A81" s="70" t="s">
        <v>154</v>
      </c>
      <c r="B81" s="368" t="s">
        <v>400</v>
      </c>
      <c r="C81" s="216">
        <v>15</v>
      </c>
      <c r="D81" s="208" t="s">
        <v>75</v>
      </c>
      <c r="E81" s="262">
        <v>110</v>
      </c>
      <c r="F81" s="70">
        <v>1</v>
      </c>
      <c r="G81" s="203">
        <f t="shared" si="8"/>
        <v>0</v>
      </c>
      <c r="H81" s="60">
        <f>+Purchases!G48</f>
        <v>0</v>
      </c>
      <c r="I81" s="79">
        <f t="shared" si="9"/>
        <v>0</v>
      </c>
      <c r="J81" s="68">
        <f t="shared" si="10"/>
        <v>0</v>
      </c>
      <c r="K81" s="72"/>
      <c r="L81" s="62"/>
      <c r="M81" s="80"/>
      <c r="N81" s="61"/>
      <c r="O81" s="74" t="str">
        <f>+A81</f>
        <v>XTENDIMAX</v>
      </c>
      <c r="P81" s="285">
        <v>45222</v>
      </c>
      <c r="Q81" s="218"/>
      <c r="R81" s="218"/>
      <c r="S81" s="218"/>
      <c r="T81" s="35"/>
      <c r="U81" s="35"/>
      <c r="V81" s="38"/>
      <c r="W81" s="36"/>
      <c r="X81" s="36" t="s">
        <v>153</v>
      </c>
      <c r="Z81" s="37" t="s">
        <v>54</v>
      </c>
      <c r="AA81" s="148" t="s">
        <v>34</v>
      </c>
      <c r="AC81" s="371" t="str">
        <f>LEFT(B81,11) &amp; "("&amp;AA81&amp;")"</f>
        <v>XTENDIMAX® (10 L)</v>
      </c>
    </row>
    <row r="82" spans="1:31" x14ac:dyDescent="0.25">
      <c r="A82" s="70" t="s">
        <v>154</v>
      </c>
      <c r="B82" s="368" t="s">
        <v>394</v>
      </c>
      <c r="C82" s="216">
        <v>675</v>
      </c>
      <c r="D82" s="208" t="s">
        <v>76</v>
      </c>
      <c r="E82" s="262">
        <v>4950</v>
      </c>
      <c r="F82" s="70">
        <v>45</v>
      </c>
      <c r="G82" s="203">
        <f>IF(B$3 =1, H82*C82, H82/C82)</f>
        <v>0</v>
      </c>
      <c r="H82" s="60">
        <f>+Purchases!G49</f>
        <v>0</v>
      </c>
      <c r="I82" s="79">
        <f>IF(B$3 = 1, H82*E82, (H82/C82) *E82)</f>
        <v>0</v>
      </c>
      <c r="J82" s="68">
        <f>IF($B$3 =1, H82*F82, (H82/C82) *F82)</f>
        <v>0</v>
      </c>
      <c r="K82" s="72"/>
      <c r="L82" s="62"/>
      <c r="M82" s="80"/>
      <c r="N82" s="61"/>
      <c r="O82" s="74"/>
      <c r="P82" s="285">
        <v>45222</v>
      </c>
      <c r="Q82" s="218"/>
      <c r="R82" s="218"/>
      <c r="S82" s="218"/>
      <c r="T82" s="35"/>
      <c r="U82" s="35"/>
      <c r="V82" s="38"/>
      <c r="W82" s="36"/>
      <c r="X82" s="36" t="s">
        <v>153</v>
      </c>
      <c r="Z82" s="37" t="s">
        <v>54</v>
      </c>
      <c r="AA82" s="148" t="s">
        <v>232</v>
      </c>
      <c r="AC82" s="371" t="str">
        <f t="shared" ref="AC82" si="12">LEFT(B82,11) &amp; "("&amp;AA82&amp;")"</f>
        <v>XTENDIMAX® (450 L)</v>
      </c>
    </row>
    <row r="83" spans="1:31" x14ac:dyDescent="0.25">
      <c r="A83" s="70" t="s">
        <v>386</v>
      </c>
      <c r="B83" s="368" t="s">
        <v>395</v>
      </c>
      <c r="C83" s="216">
        <v>20</v>
      </c>
      <c r="D83" s="208" t="s">
        <v>75</v>
      </c>
      <c r="E83" s="684">
        <v>295.5</v>
      </c>
      <c r="F83" s="70">
        <v>1</v>
      </c>
      <c r="G83" s="203">
        <f>IF(B$3 =1, H83*C83, H83/C83)</f>
        <v>0</v>
      </c>
      <c r="H83" s="60">
        <f>+Purchases!G50</f>
        <v>0</v>
      </c>
      <c r="I83" s="79">
        <f>IF(B$3 = 1, H83*E83, (H83/C83) *E83)</f>
        <v>0</v>
      </c>
      <c r="J83" s="68">
        <f>IF($B$3 =1, H83*F83, (H83/C83) *F83)</f>
        <v>0</v>
      </c>
      <c r="K83" s="72"/>
      <c r="L83" s="62"/>
      <c r="M83" s="80"/>
      <c r="N83" s="61"/>
      <c r="O83" s="74"/>
      <c r="P83" s="285">
        <v>45597</v>
      </c>
      <c r="Q83" s="218"/>
      <c r="R83" s="218"/>
      <c r="S83" s="218"/>
      <c r="T83" s="35"/>
      <c r="U83" s="35"/>
      <c r="V83" s="38"/>
      <c r="W83" s="39"/>
      <c r="X83" s="36" t="s">
        <v>153</v>
      </c>
      <c r="Z83" s="37" t="s">
        <v>54</v>
      </c>
      <c r="AA83" s="148" t="s">
        <v>34</v>
      </c>
      <c r="AC83" s="371" t="str">
        <f>LEFT(B83,13) &amp; "("&amp;AA83&amp;")"</f>
        <v>XTENDIMAX® 2 (10 L)</v>
      </c>
    </row>
    <row r="84" spans="1:31" x14ac:dyDescent="0.25">
      <c r="A84" s="70" t="s">
        <v>386</v>
      </c>
      <c r="B84" s="368" t="s">
        <v>396</v>
      </c>
      <c r="C84" s="216">
        <v>900</v>
      </c>
      <c r="D84" s="208" t="s">
        <v>76</v>
      </c>
      <c r="E84" s="684">
        <v>13297.5</v>
      </c>
      <c r="F84" s="70">
        <v>45</v>
      </c>
      <c r="G84" s="203">
        <f>IF(B$3 =1, H84*C84, H84/C84)</f>
        <v>0</v>
      </c>
      <c r="H84" s="60">
        <f>+Purchases!G52</f>
        <v>0</v>
      </c>
      <c r="I84" s="79">
        <f>IF(B$3 = 1, H84*E84, (H84/C84) *E84)</f>
        <v>0</v>
      </c>
      <c r="J84" s="68">
        <f>IF($B$3 =1, H84*F84, (H84/C84) *F84)</f>
        <v>0</v>
      </c>
      <c r="K84" s="72"/>
      <c r="L84" s="62">
        <f>IF( $B$3 = 1,  SUM(G81:G84) + G99, SUM(H81:H84) +H99 )</f>
        <v>0</v>
      </c>
      <c r="M84" s="80">
        <f>SUM(I81:I84)+I99</f>
        <v>0</v>
      </c>
      <c r="N84" s="61">
        <f>SUM(J81:J84) +J99</f>
        <v>0</v>
      </c>
      <c r="O84" s="74" t="str">
        <f>+A84</f>
        <v>XTENDIMAX 2</v>
      </c>
      <c r="P84" s="285">
        <v>45597</v>
      </c>
      <c r="Q84" s="218"/>
      <c r="R84" s="218"/>
      <c r="S84" s="218"/>
      <c r="T84" s="35"/>
      <c r="U84" s="35"/>
      <c r="V84" s="38"/>
      <c r="W84" s="39"/>
      <c r="X84" s="36" t="s">
        <v>153</v>
      </c>
      <c r="Z84" s="37" t="s">
        <v>54</v>
      </c>
      <c r="AA84" s="148" t="s">
        <v>232</v>
      </c>
      <c r="AC84" s="371" t="str">
        <f>LEFT(B84,13) &amp; "("&amp;AA84&amp;")"</f>
        <v>XTENDIMAX® 2 (450 L)</v>
      </c>
    </row>
    <row r="85" spans="1:31" x14ac:dyDescent="0.25">
      <c r="A85" s="70" t="s">
        <v>191</v>
      </c>
      <c r="B85" s="211" t="s">
        <v>263</v>
      </c>
      <c r="C85" s="216">
        <v>50</v>
      </c>
      <c r="D85" s="208" t="s">
        <v>75</v>
      </c>
      <c r="E85" s="684">
        <v>1650</v>
      </c>
      <c r="F85" s="70">
        <v>1</v>
      </c>
      <c r="G85" s="203">
        <f>IF(B$3 =1, H85*C85, H85/C85)</f>
        <v>0</v>
      </c>
      <c r="H85" s="60">
        <f>+Purchases!G28</f>
        <v>0</v>
      </c>
      <c r="I85" s="79">
        <f>IF(B$3 = 1, H85*E85, (H85/C85) *E85)</f>
        <v>0</v>
      </c>
      <c r="J85" s="68">
        <f>IF($B$3 =1, H85*F85, (H85/C85) *F85)</f>
        <v>0</v>
      </c>
      <c r="K85" s="72"/>
      <c r="L85" s="62">
        <f t="shared" ref="L85:L88" si="13">IF( $B$3 = 1,  G85,H85 )</f>
        <v>0</v>
      </c>
      <c r="M85" s="80">
        <f t="shared" ref="M85:N88" si="14">+I85</f>
        <v>0</v>
      </c>
      <c r="N85" s="61">
        <f t="shared" si="14"/>
        <v>0</v>
      </c>
      <c r="O85" s="74" t="str">
        <f>+A85</f>
        <v>VAYEGO</v>
      </c>
      <c r="P85" s="285">
        <v>45597</v>
      </c>
      <c r="Q85" s="218"/>
      <c r="R85" s="218"/>
      <c r="S85" s="218"/>
      <c r="T85" s="35"/>
      <c r="U85" s="35"/>
      <c r="V85" s="38"/>
      <c r="W85" s="39"/>
      <c r="X85" s="36" t="s">
        <v>153</v>
      </c>
      <c r="Z85" s="37" t="s">
        <v>56</v>
      </c>
      <c r="AA85" s="148" t="s">
        <v>185</v>
      </c>
    </row>
    <row r="86" spans="1:31" x14ac:dyDescent="0.25">
      <c r="A86" s="210" t="s">
        <v>9</v>
      </c>
      <c r="B86" s="221" t="s">
        <v>147</v>
      </c>
      <c r="C86" s="216">
        <v>10</v>
      </c>
      <c r="D86" s="208" t="s">
        <v>75</v>
      </c>
      <c r="E86" s="262">
        <v>0</v>
      </c>
      <c r="F86" s="70">
        <v>1</v>
      </c>
      <c r="G86" s="203">
        <f t="shared" si="8"/>
        <v>0</v>
      </c>
      <c r="H86" s="60">
        <f>+Purchases!C14</f>
        <v>0</v>
      </c>
      <c r="I86" s="79">
        <f t="shared" si="9"/>
        <v>0</v>
      </c>
      <c r="J86" s="68">
        <f t="shared" si="10"/>
        <v>0</v>
      </c>
      <c r="K86" s="72"/>
      <c r="L86" s="62">
        <f t="shared" si="13"/>
        <v>0</v>
      </c>
      <c r="M86" s="80">
        <f t="shared" si="14"/>
        <v>0</v>
      </c>
      <c r="N86" s="61">
        <f t="shared" si="14"/>
        <v>0</v>
      </c>
      <c r="O86" s="74" t="str">
        <f>+A86</f>
        <v>Canola Trait</v>
      </c>
      <c r="P86" s="285">
        <v>45222</v>
      </c>
      <c r="Q86" s="218"/>
      <c r="R86" s="218"/>
      <c r="S86" s="218"/>
      <c r="T86" s="35"/>
      <c r="U86" s="35"/>
      <c r="V86" s="38"/>
      <c r="W86" s="39"/>
      <c r="X86" s="36" t="s">
        <v>153</v>
      </c>
      <c r="Z86" s="37" t="s">
        <v>198</v>
      </c>
      <c r="AA86" s="148" t="s">
        <v>224</v>
      </c>
    </row>
    <row r="87" spans="1:31" x14ac:dyDescent="0.25">
      <c r="A87" s="210" t="s">
        <v>11</v>
      </c>
      <c r="B87" s="221" t="s">
        <v>236</v>
      </c>
      <c r="C87" s="216">
        <v>2.5</v>
      </c>
      <c r="D87" s="208" t="s">
        <v>75</v>
      </c>
      <c r="E87" s="262">
        <v>0</v>
      </c>
      <c r="F87" s="70">
        <v>1</v>
      </c>
      <c r="G87" s="203">
        <f>IF(B$3 =1, H87*C87, H87/C87)</f>
        <v>0</v>
      </c>
      <c r="H87" s="60">
        <f>+Purchases!C15</f>
        <v>0</v>
      </c>
      <c r="I87" s="79">
        <f t="shared" si="9"/>
        <v>0</v>
      </c>
      <c r="J87" s="68">
        <f t="shared" si="10"/>
        <v>0</v>
      </c>
      <c r="K87" s="72"/>
      <c r="L87" s="62">
        <f t="shared" si="13"/>
        <v>0</v>
      </c>
      <c r="M87" s="80">
        <f t="shared" si="14"/>
        <v>0</v>
      </c>
      <c r="N87" s="61">
        <f t="shared" si="14"/>
        <v>0</v>
      </c>
      <c r="O87" s="74" t="str">
        <f>+A87</f>
        <v>Corn Trait</v>
      </c>
      <c r="P87" s="285">
        <v>45222</v>
      </c>
      <c r="Q87" s="218"/>
      <c r="R87" s="218"/>
      <c r="S87" s="218"/>
      <c r="T87" s="35"/>
      <c r="U87" s="35"/>
      <c r="V87" s="38"/>
      <c r="W87" s="39"/>
      <c r="X87" s="36" t="s">
        <v>153</v>
      </c>
      <c r="Z87" s="37" t="s">
        <v>198</v>
      </c>
      <c r="AA87" s="148" t="s">
        <v>235</v>
      </c>
    </row>
    <row r="88" spans="1:31" x14ac:dyDescent="0.25">
      <c r="A88" s="210" t="s">
        <v>10</v>
      </c>
      <c r="B88" s="221" t="s">
        <v>238</v>
      </c>
      <c r="C88" s="216">
        <v>0.74</v>
      </c>
      <c r="D88" s="208" t="s">
        <v>75</v>
      </c>
      <c r="E88" s="262">
        <v>0</v>
      </c>
      <c r="F88" s="70">
        <v>1</v>
      </c>
      <c r="G88" s="203">
        <f t="shared" si="8"/>
        <v>0</v>
      </c>
      <c r="H88" s="60">
        <f>+Purchases!C16</f>
        <v>0</v>
      </c>
      <c r="I88" s="79">
        <f t="shared" si="9"/>
        <v>0</v>
      </c>
      <c r="J88" s="68">
        <f t="shared" ref="J88:J92" si="15">IF($B$3 =1, H88*F88, (H88/C88) *F88)</f>
        <v>0</v>
      </c>
      <c r="K88" s="72"/>
      <c r="L88" s="62">
        <f t="shared" si="13"/>
        <v>0</v>
      </c>
      <c r="M88" s="80">
        <f t="shared" si="14"/>
        <v>0</v>
      </c>
      <c r="N88" s="61">
        <f t="shared" si="14"/>
        <v>0</v>
      </c>
      <c r="O88" s="74" t="str">
        <f>+A88</f>
        <v>Soybean Trait</v>
      </c>
      <c r="P88" s="285">
        <v>45222</v>
      </c>
      <c r="Q88" s="218"/>
      <c r="R88" s="218"/>
      <c r="S88" s="218"/>
      <c r="T88" s="35"/>
      <c r="U88" s="35"/>
      <c r="V88" s="38"/>
      <c r="W88" s="39"/>
      <c r="X88" s="36" t="s">
        <v>153</v>
      </c>
      <c r="Z88" s="37" t="s">
        <v>198</v>
      </c>
      <c r="AA88" s="148" t="s">
        <v>239</v>
      </c>
    </row>
    <row r="89" spans="1:31" x14ac:dyDescent="0.25">
      <c r="A89" s="210" t="s">
        <v>273</v>
      </c>
      <c r="B89" s="221" t="str">
        <f>AC89 &amp; " " &amp; AD89</f>
        <v>CIRRAY® (6.48 L)</v>
      </c>
      <c r="C89" s="216">
        <v>20</v>
      </c>
      <c r="D89" s="208" t="s">
        <v>75</v>
      </c>
      <c r="E89" s="684">
        <v>462</v>
      </c>
      <c r="F89" s="70">
        <v>1</v>
      </c>
      <c r="G89" s="203">
        <f t="shared" ref="G89:G93" si="16">IF(B$3 =1, H89*C89, H89/C89)</f>
        <v>0</v>
      </c>
      <c r="H89" s="60">
        <f>+Purchases!C34</f>
        <v>0</v>
      </c>
      <c r="I89" s="79">
        <f t="shared" ref="I89:I96" si="17">IF(B$3 = 1, H89*E89, (H89/C89) *E89)</f>
        <v>0</v>
      </c>
      <c r="J89" s="68">
        <f t="shared" si="15"/>
        <v>0</v>
      </c>
      <c r="K89" s="72"/>
      <c r="L89" s="62"/>
      <c r="M89" s="80"/>
      <c r="N89" s="61"/>
      <c r="O89" s="74"/>
      <c r="P89" s="285">
        <v>45597</v>
      </c>
      <c r="Q89" s="218"/>
      <c r="R89" s="218"/>
      <c r="S89" s="218"/>
      <c r="T89" s="35"/>
      <c r="U89" s="35"/>
      <c r="V89" s="38"/>
      <c r="W89" s="39" t="s">
        <v>121</v>
      </c>
      <c r="X89" s="36" t="s">
        <v>153</v>
      </c>
      <c r="Z89" s="37" t="s">
        <v>54</v>
      </c>
      <c r="AA89" s="148" t="s">
        <v>313</v>
      </c>
      <c r="AB89" s="26" t="s">
        <v>243</v>
      </c>
      <c r="AC89" s="26" t="s">
        <v>491</v>
      </c>
      <c r="AD89" s="157" t="s">
        <v>374</v>
      </c>
      <c r="AE89" s="26" t="s">
        <v>375</v>
      </c>
    </row>
    <row r="90" spans="1:31" x14ac:dyDescent="0.25">
      <c r="A90" s="210" t="s">
        <v>273</v>
      </c>
      <c r="B90" s="221" t="str">
        <f>AC90 &amp; " " &amp; AD90</f>
        <v>CIRRAY® (103.6 L)</v>
      </c>
      <c r="C90" s="216">
        <v>320</v>
      </c>
      <c r="D90" s="208" t="s">
        <v>76</v>
      </c>
      <c r="E90" s="684">
        <v>7392</v>
      </c>
      <c r="F90" s="70">
        <v>16</v>
      </c>
      <c r="G90" s="203">
        <f t="shared" si="16"/>
        <v>0</v>
      </c>
      <c r="H90" s="60">
        <f>+Purchases!C35</f>
        <v>0</v>
      </c>
      <c r="I90" s="79">
        <f t="shared" si="17"/>
        <v>0</v>
      </c>
      <c r="J90" s="68">
        <f t="shared" si="15"/>
        <v>0</v>
      </c>
      <c r="K90" s="72"/>
      <c r="L90" s="62">
        <f>IF( $B$3 = 1,  SUM(G89:G90), SUM(H89:H90) )</f>
        <v>0</v>
      </c>
      <c r="M90" s="80">
        <f>SUM(I89:I90)</f>
        <v>0</v>
      </c>
      <c r="N90" s="61">
        <f>SUM(J89:J90)</f>
        <v>0</v>
      </c>
      <c r="O90" s="74" t="str">
        <f t="shared" ref="O90:O97" si="18">+A90</f>
        <v>CIRRAY</v>
      </c>
      <c r="P90" s="285">
        <v>45597</v>
      </c>
      <c r="Q90" s="218"/>
      <c r="R90" s="218"/>
      <c r="S90" s="218"/>
      <c r="T90" s="35"/>
      <c r="U90" s="35"/>
      <c r="V90" s="38"/>
      <c r="W90" s="39" t="s">
        <v>121</v>
      </c>
      <c r="X90" s="36" t="s">
        <v>153</v>
      </c>
      <c r="Z90" s="37" t="s">
        <v>54</v>
      </c>
      <c r="AA90" s="148" t="s">
        <v>314</v>
      </c>
      <c r="AB90" s="26" t="s">
        <v>244</v>
      </c>
      <c r="AC90" s="26" t="s">
        <v>491</v>
      </c>
      <c r="AD90" s="157" t="s">
        <v>315</v>
      </c>
      <c r="AE90" s="26" t="s">
        <v>316</v>
      </c>
    </row>
    <row r="91" spans="1:31" x14ac:dyDescent="0.25">
      <c r="A91" s="210" t="s">
        <v>90</v>
      </c>
      <c r="B91" s="221" t="s">
        <v>343</v>
      </c>
      <c r="C91" s="216">
        <v>812.5</v>
      </c>
      <c r="D91" s="208" t="s">
        <v>76</v>
      </c>
      <c r="E91" s="684">
        <v>8525</v>
      </c>
      <c r="F91" s="70">
        <v>12.5</v>
      </c>
      <c r="G91" s="203">
        <f t="shared" si="16"/>
        <v>0</v>
      </c>
      <c r="H91" s="60">
        <f>+Purchases!G21</f>
        <v>0</v>
      </c>
      <c r="I91" s="79">
        <f t="shared" si="17"/>
        <v>0</v>
      </c>
      <c r="J91" s="68">
        <f t="shared" si="15"/>
        <v>0</v>
      </c>
      <c r="K91" s="72"/>
      <c r="L91" s="62">
        <f>IF( $B$3 = 1,  G91,H91 )</f>
        <v>0</v>
      </c>
      <c r="M91" s="80">
        <f>+I91</f>
        <v>0</v>
      </c>
      <c r="N91" s="61">
        <f>+J91</f>
        <v>0</v>
      </c>
      <c r="O91" s="74" t="str">
        <f t="shared" si="18"/>
        <v>RAXIL PRO SHIELD</v>
      </c>
      <c r="P91" s="285">
        <v>45597</v>
      </c>
      <c r="Q91" s="218"/>
      <c r="R91" s="218"/>
      <c r="S91" s="218"/>
      <c r="T91" s="35"/>
      <c r="U91" s="35"/>
      <c r="V91" s="38"/>
      <c r="W91" s="39" t="s">
        <v>121</v>
      </c>
      <c r="X91" s="36" t="s">
        <v>153</v>
      </c>
      <c r="Z91" s="37" t="s">
        <v>56</v>
      </c>
      <c r="AA91" s="148" t="s">
        <v>344</v>
      </c>
      <c r="AB91" s="26" t="s">
        <v>244</v>
      </c>
    </row>
    <row r="92" spans="1:31" x14ac:dyDescent="0.25">
      <c r="A92" s="210" t="s">
        <v>90</v>
      </c>
      <c r="B92" s="221" t="s">
        <v>340</v>
      </c>
      <c r="C92" s="216">
        <v>65</v>
      </c>
      <c r="D92" s="208" t="s">
        <v>76</v>
      </c>
      <c r="E92" s="684">
        <v>682</v>
      </c>
      <c r="F92" s="70">
        <v>1</v>
      </c>
      <c r="G92" s="203">
        <f t="shared" si="16"/>
        <v>0</v>
      </c>
      <c r="H92" s="60">
        <f>+Purchases!G20</f>
        <v>0</v>
      </c>
      <c r="I92" s="79">
        <f t="shared" si="17"/>
        <v>0</v>
      </c>
      <c r="J92" s="68">
        <f t="shared" si="15"/>
        <v>0</v>
      </c>
      <c r="K92" s="72"/>
      <c r="L92" s="62">
        <f>IF( $B$3 = 1,  (G48+G91+G92), (H48+H91+H92) )</f>
        <v>0</v>
      </c>
      <c r="M92" s="80">
        <f>+I48+I91+I92</f>
        <v>0</v>
      </c>
      <c r="N92" s="61">
        <f>+J48+J91+J92</f>
        <v>0</v>
      </c>
      <c r="O92" s="74" t="str">
        <f t="shared" si="18"/>
        <v>RAXIL PRO SHIELD</v>
      </c>
      <c r="P92" s="285">
        <v>45597</v>
      </c>
      <c r="Q92" s="218"/>
      <c r="R92" s="218"/>
      <c r="S92" s="218"/>
      <c r="T92" s="35"/>
      <c r="U92" s="35"/>
      <c r="V92" s="38"/>
      <c r="W92" s="39" t="s">
        <v>121</v>
      </c>
      <c r="X92" s="36" t="s">
        <v>153</v>
      </c>
      <c r="Z92" s="37" t="s">
        <v>56</v>
      </c>
      <c r="AA92" s="148" t="s">
        <v>34</v>
      </c>
      <c r="AB92" s="26" t="s">
        <v>243</v>
      </c>
    </row>
    <row r="93" spans="1:31" x14ac:dyDescent="0.25">
      <c r="A93" s="210" t="s">
        <v>323</v>
      </c>
      <c r="B93" s="221" t="s">
        <v>337</v>
      </c>
      <c r="C93" s="216">
        <v>10</v>
      </c>
      <c r="D93" s="208" t="s">
        <v>75</v>
      </c>
      <c r="E93" s="684">
        <v>252.5</v>
      </c>
      <c r="F93" s="70">
        <v>1</v>
      </c>
      <c r="G93" s="203">
        <f t="shared" si="16"/>
        <v>0</v>
      </c>
      <c r="H93" s="60">
        <f>+Purchases!C63</f>
        <v>0</v>
      </c>
      <c r="I93" s="79">
        <f t="shared" si="17"/>
        <v>0</v>
      </c>
      <c r="J93" s="68">
        <f>IF($B$3 =1, H93*F93, (H93/C93) *F93)</f>
        <v>0</v>
      </c>
      <c r="K93" s="72"/>
      <c r="L93" s="62">
        <f>IF( $B$3 = 1,  G93,H93 )</f>
        <v>0</v>
      </c>
      <c r="M93" s="80">
        <f>+I93</f>
        <v>0</v>
      </c>
      <c r="N93" s="61">
        <f t="shared" ref="N93" si="19">+J93</f>
        <v>0</v>
      </c>
      <c r="O93" s="74" t="str">
        <f t="shared" si="18"/>
        <v>MINUET®</v>
      </c>
      <c r="P93" s="285">
        <v>45597</v>
      </c>
      <c r="Q93" s="218"/>
      <c r="R93" s="218"/>
      <c r="S93" s="218"/>
      <c r="T93" s="35"/>
      <c r="U93" s="35"/>
      <c r="V93" s="38"/>
      <c r="W93" s="39" t="s">
        <v>121</v>
      </c>
      <c r="X93" s="36" t="s">
        <v>153</v>
      </c>
      <c r="Z93" s="37" t="s">
        <v>55</v>
      </c>
      <c r="AA93" s="148" t="s">
        <v>338</v>
      </c>
      <c r="AB93" s="26" t="s">
        <v>243</v>
      </c>
    </row>
    <row r="94" spans="1:31" x14ac:dyDescent="0.25">
      <c r="A94" s="210" t="s">
        <v>358</v>
      </c>
      <c r="B94" s="211" t="s">
        <v>357</v>
      </c>
      <c r="C94" s="216">
        <v>20</v>
      </c>
      <c r="D94" s="70" t="s">
        <v>75</v>
      </c>
      <c r="E94" s="684">
        <v>564</v>
      </c>
      <c r="F94" s="208">
        <v>1</v>
      </c>
      <c r="G94" s="203">
        <f>IF(B$3 =1, H94*C94, H94/C94)</f>
        <v>0</v>
      </c>
      <c r="H94" s="60">
        <f>+Purchases!C59</f>
        <v>0</v>
      </c>
      <c r="I94" s="79">
        <f t="shared" si="17"/>
        <v>0</v>
      </c>
      <c r="J94" s="68">
        <f t="shared" ref="J94" si="20">IF($B$3 =1, H94*F94, (H94/C94) *F94)</f>
        <v>0</v>
      </c>
      <c r="K94" s="70"/>
      <c r="L94" s="62">
        <f>IF( $B$3 = 1,  G94,H94 )</f>
        <v>0</v>
      </c>
      <c r="M94" s="80"/>
      <c r="N94" s="61">
        <f t="shared" ref="N94:N97" si="21">+J94</f>
        <v>0</v>
      </c>
      <c r="O94" s="74" t="str">
        <f t="shared" si="18"/>
        <v>DELARO® COMPLETE</v>
      </c>
      <c r="P94" s="285">
        <v>45597</v>
      </c>
      <c r="Q94" s="218"/>
      <c r="R94" s="218"/>
      <c r="S94" s="218"/>
      <c r="T94" s="35"/>
      <c r="U94" s="35"/>
      <c r="V94" s="38"/>
      <c r="W94" s="39" t="s">
        <v>356</v>
      </c>
      <c r="X94" s="36" t="s">
        <v>153</v>
      </c>
      <c r="Z94" s="37" t="s">
        <v>55</v>
      </c>
      <c r="AA94" s="148" t="s">
        <v>16</v>
      </c>
      <c r="AB94" s="26" t="s">
        <v>243</v>
      </c>
    </row>
    <row r="95" spans="1:31" x14ac:dyDescent="0.25">
      <c r="A95" s="70" t="s">
        <v>355</v>
      </c>
      <c r="B95" s="211" t="s">
        <v>379</v>
      </c>
      <c r="C95" s="216">
        <v>22</v>
      </c>
      <c r="D95" s="208" t="s">
        <v>75</v>
      </c>
      <c r="E95" s="684">
        <v>1980</v>
      </c>
      <c r="F95" s="208">
        <v>1</v>
      </c>
      <c r="G95" s="203">
        <f>IF(B$3 =1, H95*C95, H95/C95)</f>
        <v>0</v>
      </c>
      <c r="H95" s="60">
        <f>+Purchases!C21</f>
        <v>0</v>
      </c>
      <c r="I95" s="79">
        <f t="shared" si="17"/>
        <v>0</v>
      </c>
      <c r="J95" s="68">
        <f t="shared" ref="J95" si="22">IF($B$3 =1, H95*F95, (H95/C95) *F95)</f>
        <v>0</v>
      </c>
      <c r="K95" s="70"/>
      <c r="L95" s="62">
        <f>IF( $B$3 = 1,  G95,H95 )</f>
        <v>0</v>
      </c>
      <c r="M95" s="80">
        <f t="shared" ref="M95" si="23">+I95</f>
        <v>0</v>
      </c>
      <c r="N95" s="61">
        <f t="shared" si="21"/>
        <v>0</v>
      </c>
      <c r="O95" s="74" t="str">
        <f t="shared" si="18"/>
        <v>EMESTO® COMPLETE</v>
      </c>
      <c r="P95" s="285">
        <v>45597</v>
      </c>
      <c r="Q95" s="218"/>
      <c r="R95" s="218"/>
      <c r="S95" s="218"/>
      <c r="T95" s="35"/>
      <c r="U95" s="35"/>
      <c r="V95" s="38"/>
      <c r="W95" s="39" t="s">
        <v>356</v>
      </c>
      <c r="X95" s="36" t="s">
        <v>153</v>
      </c>
      <c r="Z95" s="37" t="s">
        <v>56</v>
      </c>
      <c r="AA95" s="148" t="s">
        <v>380</v>
      </c>
      <c r="AB95" s="26" t="s">
        <v>243</v>
      </c>
    </row>
    <row r="96" spans="1:31" x14ac:dyDescent="0.25">
      <c r="A96" s="70" t="s">
        <v>360</v>
      </c>
      <c r="B96" s="211" t="s">
        <v>359</v>
      </c>
      <c r="C96" s="216">
        <v>20</v>
      </c>
      <c r="D96" s="208" t="s">
        <v>75</v>
      </c>
      <c r="E96" s="684">
        <v>471.5</v>
      </c>
      <c r="F96" s="70">
        <v>1</v>
      </c>
      <c r="G96" s="203">
        <f>IF(B$3 =1, H96*C96, H96/C96)</f>
        <v>0</v>
      </c>
      <c r="H96" s="60">
        <f>+Purchases!G44</f>
        <v>0</v>
      </c>
      <c r="I96" s="79">
        <f t="shared" si="17"/>
        <v>0</v>
      </c>
      <c r="J96" s="68">
        <f t="shared" ref="J96:J97" si="24">IF($B$3 =1, H96*F96, (H96/C96) *F96)</f>
        <v>0</v>
      </c>
      <c r="K96" s="70"/>
      <c r="L96" s="62"/>
      <c r="M96" s="80"/>
      <c r="N96" s="61"/>
      <c r="O96" s="74" t="str">
        <f t="shared" si="18"/>
        <v>VARRO® FX</v>
      </c>
      <c r="P96" s="285">
        <v>45597</v>
      </c>
      <c r="Q96" s="218"/>
      <c r="R96" s="218"/>
      <c r="S96" s="218"/>
      <c r="T96" s="35"/>
      <c r="U96" s="35"/>
      <c r="V96" s="38"/>
      <c r="W96" s="39" t="s">
        <v>356</v>
      </c>
      <c r="X96" s="36" t="s">
        <v>153</v>
      </c>
      <c r="Z96" s="37" t="s">
        <v>54</v>
      </c>
      <c r="AA96" s="148" t="s">
        <v>15</v>
      </c>
      <c r="AB96" s="26" t="s">
        <v>243</v>
      </c>
    </row>
    <row r="97" spans="1:29" ht="15" customHeight="1" x14ac:dyDescent="0.25">
      <c r="A97" s="210" t="s">
        <v>361</v>
      </c>
      <c r="B97" s="211" t="s">
        <v>403</v>
      </c>
      <c r="C97" s="216">
        <v>20</v>
      </c>
      <c r="D97" s="208" t="s">
        <v>75</v>
      </c>
      <c r="E97" s="684">
        <v>1610</v>
      </c>
      <c r="F97" s="70">
        <v>1</v>
      </c>
      <c r="G97" s="203">
        <f t="shared" ref="G97" si="25">IF(B$3 =1, H97*C97, H97/C97)</f>
        <v>0</v>
      </c>
      <c r="H97" s="60">
        <f>+Purchases!G63</f>
        <v>0</v>
      </c>
      <c r="I97" s="79">
        <f t="shared" ref="I97" si="26">IF(B$3 = 1, H97*E97, (H97/C97) *E97)</f>
        <v>0</v>
      </c>
      <c r="J97" s="68">
        <f t="shared" si="24"/>
        <v>0</v>
      </c>
      <c r="K97" s="72"/>
      <c r="L97" s="62">
        <f>IF( $B$3 = 1,  G97,H97 )</f>
        <v>0</v>
      </c>
      <c r="M97" s="80">
        <f>+I97</f>
        <v>0</v>
      </c>
      <c r="N97" s="61">
        <f t="shared" si="21"/>
        <v>0</v>
      </c>
      <c r="O97" s="74" t="str">
        <f t="shared" si="18"/>
        <v>VELUM®  RISE</v>
      </c>
      <c r="P97" s="285">
        <v>45597</v>
      </c>
      <c r="Q97" s="218"/>
      <c r="R97" s="218"/>
      <c r="S97" s="218"/>
      <c r="T97" s="35"/>
      <c r="U97" s="35"/>
      <c r="V97" s="38"/>
      <c r="W97" s="39" t="s">
        <v>356</v>
      </c>
      <c r="X97" s="36" t="s">
        <v>153</v>
      </c>
      <c r="Z97" s="37" t="s">
        <v>55</v>
      </c>
      <c r="AA97" s="148" t="s">
        <v>132</v>
      </c>
      <c r="AB97" s="26" t="s">
        <v>243</v>
      </c>
    </row>
    <row r="98" spans="1:29" x14ac:dyDescent="0.25">
      <c r="A98" s="210" t="s">
        <v>360</v>
      </c>
      <c r="B98" s="211" t="s">
        <v>377</v>
      </c>
      <c r="C98" s="216">
        <v>320</v>
      </c>
      <c r="D98" s="208" t="s">
        <v>76</v>
      </c>
      <c r="E98" s="684">
        <v>7544</v>
      </c>
      <c r="F98" s="70">
        <v>16</v>
      </c>
      <c r="G98" s="202">
        <f t="shared" ref="G98" si="27">IF(B$3 =1, H98*C98, H98/C98)</f>
        <v>0</v>
      </c>
      <c r="H98" s="60">
        <f>+Purchases!G45</f>
        <v>0</v>
      </c>
      <c r="I98" s="366">
        <f t="shared" ref="I98" si="28">IF(B$3 = 1, H98*E98, (H98/C98) *E98)</f>
        <v>0</v>
      </c>
      <c r="J98" s="152">
        <f t="shared" ref="J98" si="29">IF($B$3 =1, H98*F98, (H98/C98) *F98)</f>
        <v>0</v>
      </c>
      <c r="K98" s="150"/>
      <c r="L98" s="62">
        <f>IF($B$3=1,G96+G98,H96+H98)</f>
        <v>0</v>
      </c>
      <c r="M98" s="151">
        <f>+I96+I98</f>
        <v>0</v>
      </c>
      <c r="N98" s="152">
        <f>+J96+J98</f>
        <v>0</v>
      </c>
      <c r="O98" s="153" t="str">
        <f>+A98</f>
        <v>VARRO® FX</v>
      </c>
      <c r="P98" s="285">
        <v>45597</v>
      </c>
      <c r="Q98" s="154"/>
      <c r="R98" s="155"/>
      <c r="S98" s="33"/>
      <c r="T98" s="159"/>
      <c r="U98" s="159"/>
      <c r="V98" s="263"/>
      <c r="W98" s="39" t="s">
        <v>356</v>
      </c>
      <c r="X98" s="264" t="s">
        <v>153</v>
      </c>
      <c r="Z98" s="26" t="s">
        <v>54</v>
      </c>
      <c r="AA98" s="148" t="s">
        <v>210</v>
      </c>
      <c r="AB98" s="26" t="s">
        <v>244</v>
      </c>
    </row>
    <row r="99" spans="1:29" x14ac:dyDescent="0.25">
      <c r="A99" s="70" t="s">
        <v>385</v>
      </c>
      <c r="B99" s="211" t="s">
        <v>397</v>
      </c>
      <c r="C99" s="216">
        <v>245</v>
      </c>
      <c r="D99" s="208" t="s">
        <v>76</v>
      </c>
      <c r="E99" s="684">
        <v>3616.5</v>
      </c>
      <c r="F99" s="70">
        <v>12.238</v>
      </c>
      <c r="G99" s="203">
        <f>IF(B$3 =1, H99*C99, H99/C99)</f>
        <v>0</v>
      </c>
      <c r="H99" s="60">
        <f>+Purchases!G51</f>
        <v>0</v>
      </c>
      <c r="I99" s="79">
        <f>IF(B$3 = 1, H99*E99, (H99/C99) *E99)</f>
        <v>0</v>
      </c>
      <c r="J99" s="68">
        <f>IF($B$3 =1, H99*F99, (H99/C99) *F99)</f>
        <v>0</v>
      </c>
      <c r="K99" s="72"/>
      <c r="L99" s="62"/>
      <c r="M99" s="80"/>
      <c r="N99" s="61"/>
      <c r="O99" s="74" t="str">
        <f>+A99</f>
        <v xml:space="preserve">XTENDIMAX® 2 </v>
      </c>
      <c r="P99" s="285">
        <v>45597</v>
      </c>
      <c r="Q99" s="218"/>
      <c r="R99" s="218"/>
      <c r="S99" s="218"/>
      <c r="T99" s="35"/>
      <c r="U99" s="35"/>
      <c r="V99" s="38"/>
      <c r="W99" s="39" t="s">
        <v>356</v>
      </c>
      <c r="X99" s="36" t="s">
        <v>153</v>
      </c>
      <c r="Z99" s="37" t="s">
        <v>54</v>
      </c>
      <c r="AA99" s="148" t="s">
        <v>376</v>
      </c>
      <c r="AB99" s="26" t="s">
        <v>244</v>
      </c>
      <c r="AC99" s="26" t="str">
        <f>LEFT(B99,13) &amp; "("&amp;AA99&amp;")"</f>
        <v>XTENDIMAX® 2 (122.38 L)</v>
      </c>
    </row>
    <row r="100" spans="1:29" x14ac:dyDescent="0.25">
      <c r="A100" s="210" t="s">
        <v>358</v>
      </c>
      <c r="B100" s="211" t="s">
        <v>378</v>
      </c>
      <c r="C100" s="216">
        <v>320</v>
      </c>
      <c r="D100" s="70" t="s">
        <v>76</v>
      </c>
      <c r="E100" s="684">
        <v>9024</v>
      </c>
      <c r="F100" s="208">
        <v>16</v>
      </c>
      <c r="G100" s="203">
        <f>IF(B$3 =1, H100*C100, H100/C100)</f>
        <v>0</v>
      </c>
      <c r="H100" s="60">
        <f>+Purchases!C60</f>
        <v>0</v>
      </c>
      <c r="I100" s="79">
        <f t="shared" ref="I100" si="30">IF(B$3 = 1, H100*E100, (H100/C100) *E100)</f>
        <v>0</v>
      </c>
      <c r="J100" s="68">
        <f t="shared" ref="J100" si="31">IF($B$3 =1, H100*F100, (H100/C100) *F100)</f>
        <v>0</v>
      </c>
      <c r="K100" s="70"/>
      <c r="L100" s="62">
        <f>IF( $B$3 = 1,  G94+G100,H94+H100 )</f>
        <v>0</v>
      </c>
      <c r="M100" s="80">
        <f>+I94+I100</f>
        <v>0</v>
      </c>
      <c r="N100" s="61">
        <f>+J94+J100</f>
        <v>0</v>
      </c>
      <c r="O100" s="74" t="str">
        <f t="shared" ref="O100" si="32">+A100</f>
        <v>DELARO® COMPLETE</v>
      </c>
      <c r="P100" s="285">
        <v>45597</v>
      </c>
      <c r="Q100" s="218"/>
      <c r="R100" s="218"/>
      <c r="S100" s="218"/>
      <c r="T100" s="35"/>
      <c r="U100" s="35"/>
      <c r="V100" s="38"/>
      <c r="W100" s="39" t="s">
        <v>356</v>
      </c>
      <c r="X100" s="36" t="s">
        <v>153</v>
      </c>
      <c r="Z100" s="37" t="s">
        <v>55</v>
      </c>
      <c r="AA100" s="148" t="s">
        <v>16</v>
      </c>
      <c r="AB100" s="26" t="s">
        <v>243</v>
      </c>
    </row>
    <row r="101" spans="1:29" x14ac:dyDescent="0.25">
      <c r="A101" s="70" t="s">
        <v>451</v>
      </c>
      <c r="B101" s="211" t="s">
        <v>448</v>
      </c>
      <c r="C101" s="465">
        <v>20</v>
      </c>
      <c r="D101" s="208" t="s">
        <v>75</v>
      </c>
      <c r="E101" s="684">
        <v>239.25</v>
      </c>
      <c r="F101" s="70">
        <v>1</v>
      </c>
      <c r="G101" s="203">
        <f t="shared" ref="G101:G102" si="33">IF(B$3 =1, H101*C101, H101/C101)</f>
        <v>0</v>
      </c>
      <c r="H101" s="60">
        <f>+Purchases!C36</f>
        <v>0</v>
      </c>
      <c r="I101" s="79">
        <f t="shared" ref="I101:I106" si="34">IF(B$3 = 1, H101*E101, (H101/C101) *E101)</f>
        <v>0</v>
      </c>
      <c r="J101" s="68">
        <f t="shared" ref="J101:J106" si="35">IF($B$3 =1, H101*F101, (H101/C101) *F101)</f>
        <v>0</v>
      </c>
      <c r="K101" s="70"/>
      <c r="L101" s="62"/>
      <c r="M101" s="80"/>
      <c r="N101" s="61"/>
      <c r="O101" s="74" t="str">
        <f t="shared" ref="O101:O106" si="36">+A101</f>
        <v>HUSKIE PRE®</v>
      </c>
      <c r="P101" s="285">
        <v>45597</v>
      </c>
      <c r="Q101" s="218"/>
      <c r="R101" s="218"/>
      <c r="S101" s="218"/>
      <c r="T101" s="35"/>
      <c r="U101" s="35"/>
      <c r="V101" s="38"/>
      <c r="W101" s="39" t="s">
        <v>429</v>
      </c>
      <c r="X101" s="36" t="s">
        <v>153</v>
      </c>
      <c r="Z101" s="37" t="s">
        <v>54</v>
      </c>
      <c r="AA101" s="148" t="s">
        <v>22</v>
      </c>
      <c r="AB101" s="26" t="s">
        <v>243</v>
      </c>
    </row>
    <row r="102" spans="1:29" x14ac:dyDescent="0.25">
      <c r="A102" s="70" t="s">
        <v>451</v>
      </c>
      <c r="B102" s="211" t="s">
        <v>449</v>
      </c>
      <c r="C102" s="465">
        <v>320</v>
      </c>
      <c r="D102" s="208" t="s">
        <v>76</v>
      </c>
      <c r="E102" s="684">
        <v>3828</v>
      </c>
      <c r="F102" s="70">
        <v>16</v>
      </c>
      <c r="G102" s="203">
        <f t="shared" si="33"/>
        <v>0</v>
      </c>
      <c r="H102" s="60">
        <f>+Purchases!C37</f>
        <v>0</v>
      </c>
      <c r="I102" s="79">
        <f t="shared" si="34"/>
        <v>0</v>
      </c>
      <c r="J102" s="68">
        <f t="shared" si="35"/>
        <v>0</v>
      </c>
      <c r="K102" s="70"/>
      <c r="L102" s="62"/>
      <c r="M102" s="80"/>
      <c r="N102" s="61"/>
      <c r="O102" s="74" t="str">
        <f t="shared" si="36"/>
        <v>HUSKIE PRE®</v>
      </c>
      <c r="P102" s="285">
        <v>45597</v>
      </c>
      <c r="Q102" s="218"/>
      <c r="R102" s="218"/>
      <c r="S102" s="218"/>
      <c r="T102" s="35"/>
      <c r="U102" s="35"/>
      <c r="V102" s="38"/>
      <c r="W102" s="39" t="s">
        <v>429</v>
      </c>
      <c r="X102" s="36" t="s">
        <v>153</v>
      </c>
      <c r="Z102" s="37" t="s">
        <v>54</v>
      </c>
      <c r="AA102" s="148" t="s">
        <v>210</v>
      </c>
      <c r="AB102" s="26" t="s">
        <v>244</v>
      </c>
    </row>
    <row r="103" spans="1:29" x14ac:dyDescent="0.25">
      <c r="A103" s="70" t="s">
        <v>451</v>
      </c>
      <c r="B103" s="211" t="s">
        <v>450</v>
      </c>
      <c r="C103" s="465">
        <v>1000</v>
      </c>
      <c r="D103" s="208" t="s">
        <v>76</v>
      </c>
      <c r="E103" s="684">
        <v>11962.5</v>
      </c>
      <c r="F103" s="70">
        <v>50</v>
      </c>
      <c r="G103" s="203">
        <f t="shared" ref="G103:G106" si="37">IF(B$3 =1, H103*C103, H103/C103)</f>
        <v>0</v>
      </c>
      <c r="H103" s="60">
        <f>+Purchases!C38</f>
        <v>0</v>
      </c>
      <c r="I103" s="79">
        <f t="shared" si="34"/>
        <v>0</v>
      </c>
      <c r="J103" s="68">
        <f t="shared" si="35"/>
        <v>0</v>
      </c>
      <c r="K103" s="70"/>
      <c r="L103" s="62">
        <f>IF( $B$3 = 1,  SUM(G101:G103), SUM(H101:H103) )</f>
        <v>0</v>
      </c>
      <c r="M103" s="80">
        <f>SUM(I101:I103)</f>
        <v>0</v>
      </c>
      <c r="N103" s="61">
        <f>SUM(J101:J103)</f>
        <v>0</v>
      </c>
      <c r="O103" s="74" t="str">
        <f t="shared" si="36"/>
        <v>HUSKIE PRE®</v>
      </c>
      <c r="P103" s="285">
        <v>45597</v>
      </c>
      <c r="Q103" s="218"/>
      <c r="R103" s="218"/>
      <c r="S103" s="218"/>
      <c r="T103" s="35"/>
      <c r="U103" s="35"/>
      <c r="V103" s="38"/>
      <c r="W103" s="39" t="s">
        <v>429</v>
      </c>
      <c r="X103" s="36" t="s">
        <v>153</v>
      </c>
      <c r="Z103" s="37" t="s">
        <v>54</v>
      </c>
      <c r="AA103" s="148" t="s">
        <v>209</v>
      </c>
      <c r="AB103" s="26" t="s">
        <v>244</v>
      </c>
    </row>
    <row r="104" spans="1:29" x14ac:dyDescent="0.25">
      <c r="A104" s="70" t="s">
        <v>438</v>
      </c>
      <c r="B104" s="211" t="s">
        <v>435</v>
      </c>
      <c r="C104" s="465">
        <v>15</v>
      </c>
      <c r="D104" s="208" t="s">
        <v>75</v>
      </c>
      <c r="E104" s="262">
        <v>0</v>
      </c>
      <c r="F104" s="70">
        <v>1</v>
      </c>
      <c r="G104" s="203">
        <f t="shared" si="37"/>
        <v>0</v>
      </c>
      <c r="H104" s="60">
        <f>+Purchases!C52</f>
        <v>0</v>
      </c>
      <c r="I104" s="79">
        <f t="shared" si="34"/>
        <v>0</v>
      </c>
      <c r="J104" s="68">
        <f t="shared" si="35"/>
        <v>0</v>
      </c>
      <c r="K104" s="70"/>
      <c r="L104" s="62"/>
      <c r="M104" s="80"/>
      <c r="N104" s="61"/>
      <c r="O104" s="74" t="str">
        <f t="shared" si="36"/>
        <v>ROUNDUP TRANSORB® HC</v>
      </c>
      <c r="P104" s="285" t="s">
        <v>473</v>
      </c>
      <c r="Q104" s="218"/>
      <c r="R104" s="218"/>
      <c r="S104" s="218"/>
      <c r="T104" s="35"/>
      <c r="U104" s="35"/>
      <c r="V104" s="38"/>
      <c r="W104" s="39" t="s">
        <v>429</v>
      </c>
      <c r="X104" s="36" t="s">
        <v>153</v>
      </c>
      <c r="Z104" s="37" t="s">
        <v>54</v>
      </c>
      <c r="AA104" s="148" t="s">
        <v>34</v>
      </c>
      <c r="AB104" s="26" t="s">
        <v>243</v>
      </c>
    </row>
    <row r="105" spans="1:29" x14ac:dyDescent="0.25">
      <c r="A105" s="70" t="s">
        <v>438</v>
      </c>
      <c r="B105" s="211" t="s">
        <v>436</v>
      </c>
      <c r="C105" s="465">
        <v>172.5</v>
      </c>
      <c r="D105" s="208" t="s">
        <v>76</v>
      </c>
      <c r="E105" s="262">
        <v>0</v>
      </c>
      <c r="F105" s="70">
        <v>11.5</v>
      </c>
      <c r="G105" s="203">
        <f t="shared" si="37"/>
        <v>0</v>
      </c>
      <c r="H105" s="60">
        <f>+Purchases!C53</f>
        <v>0</v>
      </c>
      <c r="I105" s="79">
        <f t="shared" si="34"/>
        <v>0</v>
      </c>
      <c r="J105" s="68">
        <f t="shared" si="35"/>
        <v>0</v>
      </c>
      <c r="K105" s="70"/>
      <c r="L105" s="62"/>
      <c r="M105" s="80"/>
      <c r="N105" s="61"/>
      <c r="O105" s="74" t="str">
        <f t="shared" si="36"/>
        <v>ROUNDUP TRANSORB® HC</v>
      </c>
      <c r="P105" s="285" t="s">
        <v>474</v>
      </c>
      <c r="Q105" s="218"/>
      <c r="R105" s="218"/>
      <c r="S105" s="218"/>
      <c r="T105" s="35"/>
      <c r="U105" s="35"/>
      <c r="V105" s="38"/>
      <c r="W105" s="39" t="s">
        <v>429</v>
      </c>
      <c r="X105" s="36" t="s">
        <v>153</v>
      </c>
      <c r="Z105" s="37" t="s">
        <v>54</v>
      </c>
      <c r="AA105" s="148" t="s">
        <v>231</v>
      </c>
      <c r="AB105" s="26" t="s">
        <v>244</v>
      </c>
    </row>
    <row r="106" spans="1:29" x14ac:dyDescent="0.25">
      <c r="A106" s="70" t="s">
        <v>438</v>
      </c>
      <c r="B106" s="211" t="s">
        <v>437</v>
      </c>
      <c r="C106" s="465">
        <v>675</v>
      </c>
      <c r="D106" s="208" t="s">
        <v>76</v>
      </c>
      <c r="E106" s="262">
        <v>0</v>
      </c>
      <c r="F106" s="70">
        <v>45</v>
      </c>
      <c r="G106" s="203">
        <f t="shared" si="37"/>
        <v>0</v>
      </c>
      <c r="H106" s="60">
        <f>+Purchases!C54</f>
        <v>0</v>
      </c>
      <c r="I106" s="79">
        <f t="shared" si="34"/>
        <v>0</v>
      </c>
      <c r="J106" s="68">
        <f t="shared" si="35"/>
        <v>0</v>
      </c>
      <c r="K106" s="70"/>
      <c r="L106" s="62"/>
      <c r="M106" s="80"/>
      <c r="N106" s="61"/>
      <c r="O106" s="74" t="str">
        <f t="shared" si="36"/>
        <v>ROUNDUP TRANSORB® HC</v>
      </c>
      <c r="P106" s="285" t="s">
        <v>475</v>
      </c>
      <c r="Q106" s="218"/>
      <c r="R106" s="218"/>
      <c r="S106" s="218"/>
      <c r="T106" s="35"/>
      <c r="U106" s="35"/>
      <c r="V106" s="38"/>
      <c r="W106" s="39" t="s">
        <v>429</v>
      </c>
      <c r="X106" s="36" t="s">
        <v>153</v>
      </c>
      <c r="Z106" s="37" t="s">
        <v>54</v>
      </c>
      <c r="AA106" s="148" t="s">
        <v>232</v>
      </c>
      <c r="AB106" s="26" t="s">
        <v>244</v>
      </c>
    </row>
    <row r="107" spans="1:29" x14ac:dyDescent="0.25">
      <c r="A107" s="70" t="s">
        <v>438</v>
      </c>
      <c r="B107" s="211" t="s">
        <v>466</v>
      </c>
      <c r="C107" s="465">
        <v>1200</v>
      </c>
      <c r="D107" s="208" t="s">
        <v>76</v>
      </c>
      <c r="E107" s="262">
        <v>0</v>
      </c>
      <c r="F107" s="70">
        <v>80</v>
      </c>
      <c r="G107" s="203">
        <f t="shared" ref="G107:G109" si="38">IF(B$3 =1, H107*C107, H107/C107)</f>
        <v>0</v>
      </c>
      <c r="H107" s="60">
        <f>+Purchases!G31</f>
        <v>0</v>
      </c>
      <c r="I107" s="79">
        <f t="shared" ref="I107" si="39">IF(B$3 = 1, H107*E107, (H107/C107) *E107)</f>
        <v>0</v>
      </c>
      <c r="J107" s="68">
        <f t="shared" ref="J107" si="40">IF($B$3 =1, H107*F107, (H107/C107) *F107)</f>
        <v>0</v>
      </c>
      <c r="K107" s="70"/>
      <c r="L107" s="62">
        <f>IF( $B$3 = 1,  SUM(G104:G107), SUM(H104:H107) )</f>
        <v>0</v>
      </c>
      <c r="M107" s="80">
        <f>SUM(I104:I107)</f>
        <v>0</v>
      </c>
      <c r="N107" s="61">
        <f>SUM(J104:J107)</f>
        <v>0</v>
      </c>
      <c r="O107" s="74" t="str">
        <f t="shared" ref="O107" si="41">+A107</f>
        <v>ROUNDUP TRANSORB® HC</v>
      </c>
      <c r="P107" s="285" t="s">
        <v>476</v>
      </c>
      <c r="Q107" s="218"/>
      <c r="R107" s="218"/>
      <c r="S107" s="218"/>
      <c r="T107" s="35"/>
      <c r="U107" s="35"/>
      <c r="V107" s="38"/>
      <c r="W107" s="39" t="s">
        <v>429</v>
      </c>
      <c r="X107" s="36" t="s">
        <v>153</v>
      </c>
      <c r="Z107" s="37" t="s">
        <v>54</v>
      </c>
      <c r="AA107" s="148" t="s">
        <v>233</v>
      </c>
      <c r="AB107" s="26" t="s">
        <v>244</v>
      </c>
    </row>
    <row r="108" spans="1:29" x14ac:dyDescent="0.25">
      <c r="A108" s="70" t="s">
        <v>423</v>
      </c>
      <c r="B108" s="211" t="s">
        <v>423</v>
      </c>
      <c r="C108" s="216">
        <f>+C$86</f>
        <v>10</v>
      </c>
      <c r="D108" s="208" t="s">
        <v>75</v>
      </c>
      <c r="E108" s="262">
        <v>0</v>
      </c>
      <c r="F108" s="70">
        <v>1</v>
      </c>
      <c r="G108" s="203">
        <f t="shared" si="38"/>
        <v>0</v>
      </c>
      <c r="H108" s="60">
        <v>0</v>
      </c>
      <c r="I108" s="79">
        <f t="shared" ref="I108:I109" si="42">IF(B$3 = 1, H108*E108, (H108/C108) *E108)</f>
        <v>0</v>
      </c>
      <c r="J108" s="68">
        <f t="shared" ref="J108:J109" si="43">IF($B$3 =1, H108*F108, (H108/C108) *F108)</f>
        <v>0</v>
      </c>
      <c r="K108" s="70"/>
      <c r="L108" s="62"/>
      <c r="M108" s="80"/>
      <c r="N108" s="61"/>
      <c r="O108" s="74" t="str">
        <f t="shared" ref="O108:O109" si="44">+A108</f>
        <v>DEKALB CANOLA SEED BOOKED</v>
      </c>
      <c r="P108" s="262" t="s">
        <v>477</v>
      </c>
      <c r="Q108" s="262">
        <f t="shared" ref="Q108:AC109" si="45">+Q$86</f>
        <v>0</v>
      </c>
      <c r="R108" s="262">
        <f t="shared" si="45"/>
        <v>0</v>
      </c>
      <c r="S108" s="262">
        <f t="shared" si="45"/>
        <v>0</v>
      </c>
      <c r="T108" s="262">
        <f t="shared" si="45"/>
        <v>0</v>
      </c>
      <c r="U108" s="262">
        <f t="shared" si="45"/>
        <v>0</v>
      </c>
      <c r="V108" s="262">
        <f t="shared" si="45"/>
        <v>0</v>
      </c>
      <c r="W108" s="39" t="s">
        <v>482</v>
      </c>
      <c r="X108" s="36" t="s">
        <v>153</v>
      </c>
      <c r="Y108" s="565">
        <f t="shared" si="45"/>
        <v>0</v>
      </c>
      <c r="Z108" s="567" t="str">
        <f t="shared" si="45"/>
        <v>Crop Trait</v>
      </c>
      <c r="AA108" s="568" t="str">
        <f t="shared" si="45"/>
        <v>22.7 KG</v>
      </c>
      <c r="AB108" s="566" t="s">
        <v>460</v>
      </c>
      <c r="AC108" s="262">
        <f t="shared" si="45"/>
        <v>0</v>
      </c>
    </row>
    <row r="109" spans="1:29" x14ac:dyDescent="0.25">
      <c r="A109" s="70" t="s">
        <v>424</v>
      </c>
      <c r="B109" s="211" t="s">
        <v>424</v>
      </c>
      <c r="C109" s="216">
        <f>+C$86</f>
        <v>10</v>
      </c>
      <c r="D109" s="208" t="s">
        <v>75</v>
      </c>
      <c r="E109" s="262">
        <v>0</v>
      </c>
      <c r="F109" s="70">
        <v>1</v>
      </c>
      <c r="G109" s="203">
        <f t="shared" si="38"/>
        <v>0</v>
      </c>
      <c r="H109" s="60">
        <v>0</v>
      </c>
      <c r="I109" s="79">
        <f t="shared" si="42"/>
        <v>0</v>
      </c>
      <c r="J109" s="68">
        <f t="shared" si="43"/>
        <v>0</v>
      </c>
      <c r="K109" s="70"/>
      <c r="L109" s="62"/>
      <c r="M109" s="80"/>
      <c r="N109" s="61"/>
      <c r="O109" s="74" t="str">
        <f t="shared" si="44"/>
        <v>DEKALB CANOLA SEED PURCHASED</v>
      </c>
      <c r="P109" s="262" t="s">
        <v>477</v>
      </c>
      <c r="Q109" s="262">
        <f t="shared" si="45"/>
        <v>0</v>
      </c>
      <c r="R109" s="262">
        <f t="shared" si="45"/>
        <v>0</v>
      </c>
      <c r="S109" s="262">
        <f t="shared" si="45"/>
        <v>0</v>
      </c>
      <c r="T109" s="262">
        <f t="shared" si="45"/>
        <v>0</v>
      </c>
      <c r="U109" s="262">
        <f t="shared" si="45"/>
        <v>0</v>
      </c>
      <c r="V109" s="262">
        <f t="shared" si="45"/>
        <v>0</v>
      </c>
      <c r="W109" s="39" t="s">
        <v>482</v>
      </c>
      <c r="X109" s="36" t="s">
        <v>153</v>
      </c>
      <c r="Y109" s="565">
        <f t="shared" si="45"/>
        <v>0</v>
      </c>
      <c r="Z109" s="567" t="str">
        <f t="shared" si="45"/>
        <v>Crop Trait</v>
      </c>
      <c r="AA109" s="568" t="str">
        <f t="shared" si="45"/>
        <v>22.7 KG</v>
      </c>
      <c r="AB109" s="566" t="s">
        <v>460</v>
      </c>
      <c r="AC109" s="262">
        <f t="shared" si="45"/>
        <v>0</v>
      </c>
    </row>
    <row r="110" spans="1:29" x14ac:dyDescent="0.25">
      <c r="A110" s="70"/>
      <c r="B110" s="70"/>
      <c r="C110" s="214"/>
      <c r="D110" s="208"/>
      <c r="E110" s="262"/>
      <c r="F110" s="70"/>
      <c r="G110" s="203"/>
      <c r="H110" s="60"/>
      <c r="I110" s="79"/>
      <c r="J110" s="68"/>
      <c r="K110" s="70"/>
      <c r="L110" s="482"/>
      <c r="M110" s="483"/>
      <c r="N110" s="484"/>
      <c r="O110" s="485"/>
      <c r="P110" s="486"/>
      <c r="Q110" s="277"/>
      <c r="R110" s="277"/>
      <c r="S110" s="277"/>
      <c r="T110" s="159"/>
      <c r="U110" s="159"/>
      <c r="V110" s="263"/>
      <c r="W110" s="100"/>
      <c r="X110" s="264"/>
      <c r="Z110" s="37"/>
    </row>
    <row r="111" spans="1:29" x14ac:dyDescent="0.25">
      <c r="A111" s="70"/>
      <c r="B111" s="70"/>
      <c r="C111" s="214"/>
      <c r="D111" s="208"/>
      <c r="E111" s="262"/>
      <c r="F111" s="70"/>
      <c r="G111" s="202"/>
      <c r="H111" s="149"/>
      <c r="I111" s="363"/>
      <c r="J111" s="364"/>
      <c r="K111" s="365"/>
      <c r="L111" s="118"/>
      <c r="M111" s="121"/>
      <c r="N111" s="122"/>
      <c r="O111" s="115"/>
      <c r="P111" s="487"/>
      <c r="Q111" s="124"/>
      <c r="R111" s="124"/>
      <c r="S111" s="124"/>
      <c r="T111" s="488"/>
      <c r="U111" s="488"/>
      <c r="V111" s="124"/>
      <c r="W111" s="124"/>
      <c r="X111" s="488"/>
      <c r="Z111" s="37"/>
    </row>
    <row r="112" spans="1:29" x14ac:dyDescent="0.25">
      <c r="A112" s="210"/>
      <c r="B112" s="212"/>
      <c r="C112" s="70" t="s">
        <v>481</v>
      </c>
      <c r="D112" s="70"/>
      <c r="E112" s="226"/>
      <c r="F112" s="70"/>
      <c r="G112" s="265"/>
      <c r="H112" s="266"/>
      <c r="I112" s="267"/>
      <c r="J112" s="267"/>
      <c r="K112" s="267"/>
      <c r="L112" s="267"/>
      <c r="M112" s="267"/>
      <c r="N112" s="267"/>
      <c r="O112" s="268"/>
      <c r="P112" s="269"/>
      <c r="Q112" s="270"/>
      <c r="R112" s="270"/>
      <c r="S112" s="270"/>
      <c r="T112" s="271"/>
      <c r="U112" s="271"/>
      <c r="V112" s="272"/>
      <c r="W112" s="273"/>
      <c r="X112" s="274"/>
    </row>
    <row r="113" spans="1:25" ht="15.75" thickBot="1" x14ac:dyDescent="0.3">
      <c r="A113" s="210" t="s">
        <v>178</v>
      </c>
      <c r="B113" s="229" t="s">
        <v>471</v>
      </c>
      <c r="C113" s="70"/>
      <c r="D113" s="70"/>
      <c r="F113" s="70"/>
      <c r="G113" s="227"/>
      <c r="H113" s="228"/>
      <c r="I113" s="70" t="s">
        <v>373</v>
      </c>
      <c r="K113" s="70"/>
      <c r="L113" s="70"/>
      <c r="M113" s="229" t="s">
        <v>472</v>
      </c>
      <c r="N113" s="230"/>
      <c r="O113" s="208" t="s">
        <v>226</v>
      </c>
      <c r="P113" s="231">
        <v>45597</v>
      </c>
      <c r="Q113" s="218"/>
      <c r="R113" s="232"/>
      <c r="S113" s="232"/>
      <c r="T113" s="159"/>
      <c r="U113" s="159"/>
      <c r="V113" s="104"/>
      <c r="W113" s="105"/>
      <c r="X113" s="36"/>
      <c r="Y113" s="106"/>
    </row>
    <row r="114" spans="1:25" x14ac:dyDescent="0.25">
      <c r="A114" s="236" t="s">
        <v>45</v>
      </c>
      <c r="B114" s="237"/>
      <c r="C114" s="275"/>
      <c r="D114" s="276"/>
      <c r="E114" s="225"/>
      <c r="F114" s="225"/>
      <c r="G114" s="225"/>
      <c r="H114" s="277"/>
      <c r="I114" s="277"/>
      <c r="K114" s="225"/>
      <c r="L114" s="225"/>
      <c r="M114" s="277"/>
      <c r="N114" s="225"/>
      <c r="O114" s="225"/>
      <c r="P114" s="225"/>
      <c r="Q114" s="238">
        <f>IF(L47 &gt;=L64, L64,L47)</f>
        <v>0</v>
      </c>
      <c r="R114" s="239">
        <f>+L64-Q114</f>
        <v>0</v>
      </c>
      <c r="S114" s="240" t="s">
        <v>105</v>
      </c>
      <c r="T114" s="241" t="s">
        <v>105</v>
      </c>
      <c r="U114" s="242" t="s">
        <v>105</v>
      </c>
      <c r="V114" s="38"/>
      <c r="W114" s="39"/>
      <c r="X114" s="36"/>
    </row>
    <row r="115" spans="1:25" x14ac:dyDescent="0.25">
      <c r="A115" s="233" t="s">
        <v>46</v>
      </c>
      <c r="B115" s="234"/>
      <c r="C115" s="218"/>
      <c r="D115" s="218"/>
      <c r="E115" s="226"/>
      <c r="F115" s="218"/>
      <c r="G115" s="278"/>
      <c r="H115" s="278"/>
      <c r="I115" s="278"/>
      <c r="J115" s="210"/>
      <c r="K115" s="210"/>
      <c r="L115" s="210"/>
      <c r="M115" s="279"/>
      <c r="N115" s="210"/>
      <c r="O115" s="218"/>
      <c r="P115" s="218"/>
      <c r="Q115" s="235" t="s">
        <v>105</v>
      </c>
      <c r="R115" s="235" t="s">
        <v>105</v>
      </c>
      <c r="S115" s="243">
        <f>IF(L71 &gt;=R114,R114,L71)</f>
        <v>0</v>
      </c>
      <c r="T115" s="244">
        <f>+R114-S115</f>
        <v>0</v>
      </c>
      <c r="U115" s="235" t="s">
        <v>105</v>
      </c>
      <c r="V115" s="38"/>
      <c r="W115" s="39"/>
      <c r="X115" s="36"/>
    </row>
    <row r="116" spans="1:25" x14ac:dyDescent="0.25">
      <c r="A116" s="233" t="s">
        <v>326</v>
      </c>
      <c r="B116" s="234"/>
      <c r="C116" s="218"/>
      <c r="D116" s="218"/>
      <c r="E116" s="226"/>
      <c r="F116" s="218"/>
      <c r="G116" s="278"/>
      <c r="H116" s="278"/>
      <c r="I116" s="278"/>
      <c r="J116" s="210"/>
      <c r="K116" s="210"/>
      <c r="L116" s="210"/>
      <c r="M116" s="279"/>
      <c r="N116" s="210"/>
      <c r="O116" s="218"/>
      <c r="P116" s="218"/>
      <c r="Q116" s="235" t="s">
        <v>105</v>
      </c>
      <c r="R116" s="235" t="s">
        <v>105</v>
      </c>
      <c r="S116" s="235" t="s">
        <v>105</v>
      </c>
      <c r="T116" s="235" t="s">
        <v>105</v>
      </c>
      <c r="U116" s="245">
        <f>IF(L15 &gt;=T115,T115,L15)</f>
        <v>0</v>
      </c>
      <c r="V116" s="38"/>
      <c r="W116" s="39"/>
      <c r="X116" s="36"/>
    </row>
    <row r="117" spans="1:25" x14ac:dyDescent="0.25">
      <c r="A117" s="218"/>
      <c r="B117" s="218"/>
      <c r="C117" s="218"/>
      <c r="D117" s="218"/>
      <c r="E117" s="226"/>
      <c r="F117" s="246"/>
      <c r="G117" s="246"/>
      <c r="H117" s="208" t="s">
        <v>98</v>
      </c>
      <c r="I117" s="247">
        <f>SUM(I4:I111)</f>
        <v>0</v>
      </c>
      <c r="J117" s="210"/>
      <c r="K117" s="210"/>
      <c r="L117" s="210"/>
      <c r="M117" s="247">
        <f>SUM(M4:M97) -M33-M34</f>
        <v>0</v>
      </c>
      <c r="N117" s="210"/>
      <c r="O117" s="218"/>
      <c r="P117" s="218"/>
      <c r="Q117" s="218"/>
      <c r="R117" s="218"/>
      <c r="S117" s="234" t="s">
        <v>160</v>
      </c>
      <c r="T117" s="234"/>
      <c r="U117" s="244">
        <f>+Q114+S115+U116</f>
        <v>0</v>
      </c>
    </row>
    <row r="118" spans="1:25" x14ac:dyDescent="0.25">
      <c r="A118" s="40"/>
      <c r="E118" s="45"/>
      <c r="F118" s="41"/>
      <c r="G118" s="41"/>
      <c r="H118" s="41"/>
      <c r="I118" s="41"/>
      <c r="J118" s="40"/>
      <c r="K118" s="40"/>
      <c r="L118" s="40"/>
      <c r="M118" s="42"/>
      <c r="N118" s="40"/>
      <c r="Q118" s="43"/>
      <c r="R118" s="43"/>
    </row>
    <row r="119" spans="1:25" ht="15.75" hidden="1" thickBot="1" x14ac:dyDescent="0.3">
      <c r="A119" s="138" t="s">
        <v>192</v>
      </c>
      <c r="B119" s="26" t="b">
        <v>0</v>
      </c>
      <c r="E119" s="683"/>
      <c r="F119" s="41" t="s">
        <v>99</v>
      </c>
      <c r="G119" s="41"/>
      <c r="H119" s="41"/>
      <c r="I119" s="41"/>
      <c r="J119" s="40"/>
      <c r="K119" s="40"/>
      <c r="L119" s="40"/>
      <c r="M119" s="40"/>
      <c r="N119" s="40"/>
    </row>
    <row r="120" spans="1:25" ht="15.75" hidden="1" thickBot="1" x14ac:dyDescent="0.3">
      <c r="A120" s="44" t="s">
        <v>155</v>
      </c>
      <c r="E120" s="45"/>
      <c r="F120" s="41"/>
      <c r="G120" s="41"/>
      <c r="H120" s="41"/>
      <c r="I120" s="41"/>
      <c r="J120" s="40"/>
      <c r="K120" s="40"/>
      <c r="L120" s="40"/>
      <c r="M120" s="40"/>
      <c r="N120" s="40"/>
    </row>
    <row r="121" spans="1:25" hidden="1" x14ac:dyDescent="0.25">
      <c r="A121" s="87" t="s">
        <v>122</v>
      </c>
      <c r="B121" s="88">
        <f>IF(RebateSummary!F10 &lt;1500,RebateSummary!F10,0)</f>
        <v>0</v>
      </c>
      <c r="C121" s="87"/>
      <c r="D121" s="94"/>
      <c r="E121" s="95"/>
      <c r="F121" s="96"/>
      <c r="G121" s="96"/>
      <c r="H121" s="96"/>
      <c r="I121" s="97"/>
      <c r="J121" s="40"/>
      <c r="K121" s="40"/>
      <c r="L121" s="40"/>
      <c r="M121" s="40"/>
      <c r="N121" s="40"/>
    </row>
    <row r="122" spans="1:25" hidden="1" x14ac:dyDescent="0.25">
      <c r="A122" s="89" t="s">
        <v>123</v>
      </c>
      <c r="B122" s="90" t="e">
        <f>IF(RebateSummary!#REF! &lt;1500,RebateSummary!#REF!,0)</f>
        <v>#REF!</v>
      </c>
      <c r="C122" s="89"/>
      <c r="D122" s="39"/>
      <c r="E122" s="84"/>
      <c r="F122" s="85"/>
      <c r="G122" s="85"/>
      <c r="H122" s="85"/>
      <c r="I122" s="98"/>
      <c r="J122" s="40"/>
      <c r="K122" s="40"/>
      <c r="L122" s="40"/>
      <c r="M122" s="40"/>
      <c r="N122" s="40"/>
    </row>
    <row r="123" spans="1:25" hidden="1" x14ac:dyDescent="0.25">
      <c r="A123" s="89" t="s">
        <v>137</v>
      </c>
      <c r="B123" s="90" t="e">
        <f>IF(RebateSummary!#REF! &lt;1500,RebateSummary!#REF!,0)</f>
        <v>#REF!</v>
      </c>
      <c r="C123" s="89"/>
      <c r="D123" s="39"/>
      <c r="E123" s="84"/>
      <c r="F123" s="85"/>
      <c r="G123" s="85"/>
      <c r="H123" s="85"/>
      <c r="I123" s="98"/>
      <c r="J123" s="40"/>
      <c r="K123" s="40"/>
      <c r="L123" s="40"/>
      <c r="M123" s="40"/>
      <c r="N123" s="40"/>
    </row>
    <row r="124" spans="1:25" hidden="1" x14ac:dyDescent="0.25">
      <c r="A124" s="89" t="s">
        <v>43</v>
      </c>
      <c r="B124" s="90" t="e">
        <f>IF(RebateSummary!#REF! &lt;1500,RebateSummary!#REF!,0)</f>
        <v>#REF!</v>
      </c>
      <c r="C124" s="89"/>
      <c r="D124" s="39"/>
      <c r="E124" s="84"/>
      <c r="F124" s="85"/>
      <c r="G124" s="85"/>
      <c r="H124" s="85"/>
      <c r="I124" s="98"/>
      <c r="J124" s="40"/>
      <c r="K124" s="40"/>
      <c r="L124" s="40"/>
      <c r="M124" s="40"/>
      <c r="N124" s="40"/>
    </row>
    <row r="125" spans="1:25" hidden="1" x14ac:dyDescent="0.25">
      <c r="A125" s="89" t="s">
        <v>125</v>
      </c>
      <c r="B125" s="90">
        <f>IF(RebateSummary!F22 &lt;1500,RebateSummary!F22,0)</f>
        <v>0</v>
      </c>
      <c r="C125" s="89"/>
      <c r="D125" s="39"/>
      <c r="E125" s="84"/>
      <c r="F125" s="85"/>
      <c r="G125" s="85"/>
      <c r="H125" s="85"/>
      <c r="I125" s="98"/>
      <c r="J125" s="40"/>
      <c r="K125" s="40"/>
      <c r="L125" s="40"/>
      <c r="M125" s="40"/>
      <c r="N125" s="40"/>
    </row>
    <row r="126" spans="1:25" hidden="1" x14ac:dyDescent="0.25">
      <c r="A126" s="89" t="s">
        <v>128</v>
      </c>
      <c r="B126" s="90" t="e">
        <f>IF(RebateSummary!#REF! &lt;1500,RebateSummary!#REF!,0)</f>
        <v>#REF!</v>
      </c>
      <c r="C126" s="89"/>
      <c r="D126" s="39"/>
      <c r="E126" s="84"/>
      <c r="F126" s="85"/>
      <c r="G126" s="85"/>
      <c r="H126" s="85"/>
      <c r="I126" s="98"/>
      <c r="J126" s="40"/>
      <c r="K126" s="40"/>
      <c r="L126" s="40"/>
      <c r="M126" s="40"/>
      <c r="N126" s="40"/>
    </row>
    <row r="127" spans="1:25" ht="15.75" hidden="1" thickBot="1" x14ac:dyDescent="0.3">
      <c r="A127" s="89" t="s">
        <v>135</v>
      </c>
      <c r="B127" s="90">
        <f>IF(RebateSummary!F34 &lt;1500,RebateSummary!F34,0)</f>
        <v>0</v>
      </c>
      <c r="C127" s="99"/>
      <c r="D127" s="100"/>
      <c r="E127" s="101"/>
      <c r="F127" s="102"/>
      <c r="G127" s="102"/>
      <c r="H127" s="102"/>
      <c r="I127" s="103"/>
      <c r="J127" s="40"/>
      <c r="K127" s="40"/>
      <c r="L127" s="40"/>
      <c r="M127" s="40"/>
      <c r="N127" s="40"/>
    </row>
    <row r="128" spans="1:25" ht="15.75" hidden="1" thickBot="1" x14ac:dyDescent="0.3">
      <c r="A128" s="91" t="s">
        <v>141</v>
      </c>
      <c r="B128" s="90" t="e">
        <f>SUM(B121:B127)</f>
        <v>#REF!</v>
      </c>
      <c r="C128" s="46" t="s">
        <v>157</v>
      </c>
      <c r="D128" s="47"/>
      <c r="E128" s="48"/>
      <c r="F128" s="49"/>
      <c r="G128" s="49"/>
      <c r="H128" s="49"/>
      <c r="I128" s="50"/>
      <c r="J128" s="51"/>
      <c r="K128" s="51"/>
      <c r="L128" s="52"/>
      <c r="M128" s="51"/>
      <c r="N128" s="52"/>
    </row>
    <row r="129" spans="1:27" ht="15.75" hidden="1" thickBot="1" x14ac:dyDescent="0.3">
      <c r="A129" s="89" t="s">
        <v>136</v>
      </c>
      <c r="B129" s="90">
        <f>IF(RebateSummary!D13 &lt;300, RebateSummary!F35,0)</f>
        <v>0</v>
      </c>
      <c r="C129" s="53" t="s">
        <v>158</v>
      </c>
      <c r="D129" s="54"/>
      <c r="E129" s="55"/>
      <c r="F129" s="56"/>
      <c r="G129" s="56"/>
      <c r="H129" s="56"/>
      <c r="I129" s="56"/>
      <c r="J129" s="57"/>
      <c r="K129" s="57"/>
      <c r="L129" s="57"/>
      <c r="M129" s="57"/>
      <c r="N129" s="58"/>
    </row>
    <row r="130" spans="1:27" ht="15.75" hidden="1" thickBot="1" x14ac:dyDescent="0.3">
      <c r="A130" s="92" t="s">
        <v>159</v>
      </c>
      <c r="B130" s="93">
        <f>IF(RebateSummary!F37 &gt;=1500, +IF(RebateSummary!D$37 &gt; 0,RebateSummary!F37-((Pkge!U117/RebateSummary!D37)*RebateSummary!F37),0), RebateSummary!F37)</f>
        <v>0</v>
      </c>
      <c r="C130" s="53" t="s">
        <v>177</v>
      </c>
      <c r="D130" s="54"/>
      <c r="E130" s="55"/>
      <c r="F130" s="56"/>
      <c r="G130" s="56"/>
      <c r="H130" s="59"/>
      <c r="I130" s="56"/>
      <c r="J130" s="57"/>
      <c r="K130" s="57"/>
      <c r="L130" s="57"/>
      <c r="M130" s="57"/>
      <c r="N130" s="58"/>
    </row>
    <row r="131" spans="1:27" hidden="1" x14ac:dyDescent="0.25">
      <c r="A131" s="138" t="s">
        <v>192</v>
      </c>
      <c r="B131" s="86"/>
    </row>
    <row r="132" spans="1:27" hidden="1" x14ac:dyDescent="0.25">
      <c r="A132" s="83" t="s">
        <v>161</v>
      </c>
      <c r="B132" s="83" t="b">
        <v>1</v>
      </c>
    </row>
    <row r="133" spans="1:27" hidden="1" x14ac:dyDescent="0.25">
      <c r="A133" s="83" t="s">
        <v>162</v>
      </c>
      <c r="B133" s="83" t="b">
        <v>0</v>
      </c>
    </row>
    <row r="134" spans="1:27" hidden="1" x14ac:dyDescent="0.25">
      <c r="A134" s="39"/>
      <c r="B134" s="81" t="s">
        <v>2</v>
      </c>
      <c r="C134" s="81" t="s">
        <v>1</v>
      </c>
    </row>
    <row r="135" spans="1:27" hidden="1" x14ac:dyDescent="0.25">
      <c r="A135" s="39" t="s">
        <v>171</v>
      </c>
      <c r="B135" s="82" t="e">
        <f>SUM(#REF!)</f>
        <v>#REF!</v>
      </c>
      <c r="C135" s="39" t="e">
        <f>SUM(#REF!)</f>
        <v>#REF!</v>
      </c>
    </row>
    <row r="136" spans="1:27" hidden="1" x14ac:dyDescent="0.25">
      <c r="A136" s="39" t="s">
        <v>172</v>
      </c>
      <c r="B136" s="82" t="e">
        <f>+#REF!+#REF!+#REF!+#REF!</f>
        <v>#REF!</v>
      </c>
      <c r="C136" s="39" t="e">
        <f>+#REF!+#REF!+#REF!+#REF!</f>
        <v>#REF!</v>
      </c>
    </row>
    <row r="137" spans="1:27" hidden="1" x14ac:dyDescent="0.25">
      <c r="A137" s="39" t="s">
        <v>173</v>
      </c>
      <c r="B137" s="82" t="e">
        <f>+#REF!+#REF!</f>
        <v>#REF!</v>
      </c>
      <c r="C137" s="39" t="e">
        <f>+#REF!+#REF!</f>
        <v>#REF!</v>
      </c>
    </row>
    <row r="138" spans="1:27" hidden="1" x14ac:dyDescent="0.25">
      <c r="A138" s="39" t="s">
        <v>174</v>
      </c>
      <c r="B138" s="82" t="e">
        <f>+#REF!</f>
        <v>#REF!</v>
      </c>
      <c r="C138" s="39" t="e">
        <f>+#REF!</f>
        <v>#REF!</v>
      </c>
    </row>
    <row r="139" spans="1:27" hidden="1" x14ac:dyDescent="0.25">
      <c r="A139" s="39" t="s">
        <v>175</v>
      </c>
      <c r="B139" s="82" t="e">
        <f>+#REF!+#REF!+#REF!+#REF!</f>
        <v>#REF!</v>
      </c>
      <c r="C139" s="39" t="e">
        <f>+#REF!+#REF!+#REF!+#REF!</f>
        <v>#REF!</v>
      </c>
    </row>
    <row r="140" spans="1:27" hidden="1" x14ac:dyDescent="0.25">
      <c r="A140" s="39" t="s">
        <v>176</v>
      </c>
      <c r="B140" s="82" t="e">
        <f>+#REF!+#REF!</f>
        <v>#REF!</v>
      </c>
      <c r="C140" s="39" t="e">
        <f>+#REF!+#REF!</f>
        <v>#REF!</v>
      </c>
    </row>
    <row r="141" spans="1:27" hidden="1" x14ac:dyDescent="0.25"/>
    <row r="142" spans="1:27" hidden="1" x14ac:dyDescent="0.25">
      <c r="A142" s="111" t="s">
        <v>193</v>
      </c>
    </row>
    <row r="143" spans="1:27" hidden="1" x14ac:dyDescent="0.25">
      <c r="A143" s="111" t="s">
        <v>194</v>
      </c>
    </row>
    <row r="144" spans="1:27" hidden="1" x14ac:dyDescent="0.25">
      <c r="A144" s="125" t="e">
        <f>+Purchases!#REF!</f>
        <v>#REF!</v>
      </c>
      <c r="B144" s="113"/>
      <c r="C144" s="114">
        <f>IF(ISERROR(+Purchases!#REF!),0, +Purchases!#REF!)</f>
        <v>0</v>
      </c>
      <c r="D144" s="115" t="s">
        <v>75</v>
      </c>
      <c r="E144" s="116">
        <f>IF(ISERROR(+Purchases!#REF!),0, +Purchases!#REF!)</f>
        <v>0</v>
      </c>
      <c r="F144" s="112">
        <v>1</v>
      </c>
      <c r="G144" s="117">
        <f>IF(C144 &gt;0, ROUND(IF(B$3 =1, H144*C144, H144/C144),2),0)</f>
        <v>0</v>
      </c>
      <c r="H144" s="118" t="e">
        <f>+Purchases!#REF!</f>
        <v>#REF!</v>
      </c>
      <c r="I144" s="119">
        <f>IF(B$3 = 1, H144*E144,IF(C144 &gt;0,  (H144/C144) *E144,0))</f>
        <v>0</v>
      </c>
      <c r="J144" s="120">
        <f>ROUND(IF($B$3 =1, H144*F144, IF(C144&gt;0,  (H144/C144) *F144,0)),2)</f>
        <v>0</v>
      </c>
      <c r="K144" s="112"/>
      <c r="L144" s="118" t="e">
        <f>IF( $B$3 = 1,  G144,H144 )</f>
        <v>#REF!</v>
      </c>
      <c r="M144" s="121">
        <f>+I144</f>
        <v>0</v>
      </c>
      <c r="N144" s="122">
        <f>+J144</f>
        <v>0</v>
      </c>
      <c r="O144" s="115" t="e">
        <f>+A144</f>
        <v>#REF!</v>
      </c>
      <c r="P144" s="123">
        <v>44030</v>
      </c>
      <c r="Q144" s="124"/>
      <c r="R144" s="124"/>
      <c r="S144" s="124"/>
      <c r="T144" s="124"/>
      <c r="U144" s="124"/>
      <c r="V144" s="124"/>
      <c r="W144" s="124"/>
      <c r="X144" s="124" t="s">
        <v>153</v>
      </c>
      <c r="Y144" s="124"/>
      <c r="AA144" s="148" t="s">
        <v>224</v>
      </c>
    </row>
    <row r="145" spans="1:27" hidden="1" x14ac:dyDescent="0.25">
      <c r="A145" s="125" t="e">
        <f>+Purchases!#REF!</f>
        <v>#REF!</v>
      </c>
      <c r="B145" s="113"/>
      <c r="C145" s="114">
        <f>IF(ISERROR(+Purchases!#REF!),0, +Purchases!#REF!)</f>
        <v>0</v>
      </c>
      <c r="D145" s="115" t="s">
        <v>75</v>
      </c>
      <c r="E145" s="116">
        <f>IF(ISERROR(+Purchases!#REF!),0, +Purchases!#REF!)</f>
        <v>0</v>
      </c>
      <c r="F145" s="112">
        <v>1</v>
      </c>
      <c r="G145" s="117">
        <f t="shared" ref="G145:G163" si="46">IF(C145 &gt;0, ROUND(IF(B$3 =1, H145*C145, H145/C145),2),0)</f>
        <v>0</v>
      </c>
      <c r="H145" s="118" t="e">
        <f>+Purchases!#REF!</f>
        <v>#REF!</v>
      </c>
      <c r="I145" s="119">
        <f t="shared" ref="I145:I163" si="47">IF(B$3 = 1, H145*E145,IF(C145 &gt;0,  (H145/C145) *E145,0))</f>
        <v>0</v>
      </c>
      <c r="J145" s="120">
        <f t="shared" ref="J145:J163" si="48">ROUND(IF($B$3 =1, H145*F145, IF(C145&gt;0,  (H145/C145) *F145,0)),2)</f>
        <v>0</v>
      </c>
      <c r="K145" s="112"/>
      <c r="L145" s="118" t="e">
        <f t="shared" ref="L145:L155" si="49">IF( $B$3 = 1,  G145,H145 )</f>
        <v>#REF!</v>
      </c>
      <c r="M145" s="121">
        <f t="shared" ref="M145:M155" si="50">+I145</f>
        <v>0</v>
      </c>
      <c r="N145" s="122">
        <f t="shared" ref="N145:N155" si="51">+J145</f>
        <v>0</v>
      </c>
      <c r="O145" s="115" t="e">
        <f t="shared" ref="O145:O163" si="52">+A145</f>
        <v>#REF!</v>
      </c>
      <c r="P145" s="123">
        <v>44030</v>
      </c>
      <c r="Q145" s="124"/>
      <c r="R145" s="124"/>
      <c r="S145" s="124"/>
      <c r="T145" s="124"/>
      <c r="U145" s="124"/>
      <c r="V145" s="124"/>
      <c r="W145" s="124"/>
      <c r="X145" s="124" t="s">
        <v>153</v>
      </c>
      <c r="Y145" s="124"/>
      <c r="AA145" s="148" t="s">
        <v>224</v>
      </c>
    </row>
    <row r="146" spans="1:27" hidden="1" x14ac:dyDescent="0.25">
      <c r="A146" s="125" t="e">
        <f>+Purchases!#REF!</f>
        <v>#REF!</v>
      </c>
      <c r="B146" s="113"/>
      <c r="C146" s="114">
        <f>IF(ISERROR(+Purchases!#REF!),0, +Purchases!#REF!)</f>
        <v>0</v>
      </c>
      <c r="D146" s="115" t="s">
        <v>75</v>
      </c>
      <c r="E146" s="116">
        <f>IF(ISERROR(+Purchases!#REF!),0, +Purchases!#REF!)</f>
        <v>0</v>
      </c>
      <c r="F146" s="112">
        <v>1</v>
      </c>
      <c r="G146" s="117">
        <f t="shared" si="46"/>
        <v>0</v>
      </c>
      <c r="H146" s="118" t="e">
        <f>+Purchases!#REF!</f>
        <v>#REF!</v>
      </c>
      <c r="I146" s="119">
        <f t="shared" si="47"/>
        <v>0</v>
      </c>
      <c r="J146" s="120">
        <f t="shared" si="48"/>
        <v>0</v>
      </c>
      <c r="K146" s="112"/>
      <c r="L146" s="118" t="e">
        <f t="shared" si="49"/>
        <v>#REF!</v>
      </c>
      <c r="M146" s="121">
        <f t="shared" si="50"/>
        <v>0</v>
      </c>
      <c r="N146" s="122">
        <f t="shared" si="51"/>
        <v>0</v>
      </c>
      <c r="O146" s="115" t="e">
        <f t="shared" si="52"/>
        <v>#REF!</v>
      </c>
      <c r="P146" s="123">
        <v>44030</v>
      </c>
      <c r="Q146" s="124"/>
      <c r="R146" s="124"/>
      <c r="S146" s="124"/>
      <c r="T146" s="124"/>
      <c r="U146" s="124"/>
      <c r="V146" s="124"/>
      <c r="W146" s="124"/>
      <c r="X146" s="124" t="s">
        <v>153</v>
      </c>
      <c r="Y146" s="124"/>
      <c r="AA146" s="148" t="s">
        <v>224</v>
      </c>
    </row>
    <row r="147" spans="1:27" hidden="1" x14ac:dyDescent="0.25">
      <c r="A147" s="125" t="e">
        <f>+Purchases!#REF!</f>
        <v>#REF!</v>
      </c>
      <c r="B147" s="113"/>
      <c r="C147" s="114">
        <f>IF(ISERROR(+Purchases!#REF!),0, +Purchases!#REF!)</f>
        <v>0</v>
      </c>
      <c r="D147" s="115" t="s">
        <v>75</v>
      </c>
      <c r="E147" s="116">
        <f>IF(ISERROR(+Purchases!#REF!),0, +Purchases!#REF!)</f>
        <v>0</v>
      </c>
      <c r="F147" s="112">
        <v>1</v>
      </c>
      <c r="G147" s="117">
        <f t="shared" si="46"/>
        <v>0</v>
      </c>
      <c r="H147" s="118" t="e">
        <f>+Purchases!#REF!</f>
        <v>#REF!</v>
      </c>
      <c r="I147" s="119">
        <f t="shared" si="47"/>
        <v>0</v>
      </c>
      <c r="J147" s="120">
        <f t="shared" si="48"/>
        <v>0</v>
      </c>
      <c r="K147" s="112"/>
      <c r="L147" s="118" t="e">
        <f t="shared" si="49"/>
        <v>#REF!</v>
      </c>
      <c r="M147" s="121">
        <f t="shared" si="50"/>
        <v>0</v>
      </c>
      <c r="N147" s="122">
        <f t="shared" si="51"/>
        <v>0</v>
      </c>
      <c r="O147" s="115" t="e">
        <f t="shared" si="52"/>
        <v>#REF!</v>
      </c>
      <c r="P147" s="123">
        <v>44030</v>
      </c>
      <c r="Q147" s="124"/>
      <c r="R147" s="124"/>
      <c r="S147" s="124"/>
      <c r="T147" s="124"/>
      <c r="U147" s="124"/>
      <c r="V147" s="124"/>
      <c r="W147" s="124"/>
      <c r="X147" s="124" t="s">
        <v>153</v>
      </c>
      <c r="Y147" s="124"/>
      <c r="AA147" s="148" t="s">
        <v>224</v>
      </c>
    </row>
    <row r="148" spans="1:27" hidden="1" x14ac:dyDescent="0.25">
      <c r="A148" s="125" t="e">
        <f>+Purchases!#REF!</f>
        <v>#REF!</v>
      </c>
      <c r="B148" s="113"/>
      <c r="C148" s="114">
        <f>IF(ISERROR(+Purchases!#REF!),0, +Purchases!#REF!)</f>
        <v>0</v>
      </c>
      <c r="D148" s="115" t="s">
        <v>75</v>
      </c>
      <c r="E148" s="116">
        <f>IF(ISERROR(+Purchases!#REF!),0, +Purchases!#REF!)</f>
        <v>0</v>
      </c>
      <c r="F148" s="112">
        <v>1</v>
      </c>
      <c r="G148" s="117">
        <f t="shared" si="46"/>
        <v>0</v>
      </c>
      <c r="H148" s="118" t="e">
        <f>+Purchases!#REF!</f>
        <v>#REF!</v>
      </c>
      <c r="I148" s="119">
        <f t="shared" si="47"/>
        <v>0</v>
      </c>
      <c r="J148" s="120">
        <f t="shared" si="48"/>
        <v>0</v>
      </c>
      <c r="K148" s="112"/>
      <c r="L148" s="118" t="e">
        <f t="shared" si="49"/>
        <v>#REF!</v>
      </c>
      <c r="M148" s="121">
        <f t="shared" si="50"/>
        <v>0</v>
      </c>
      <c r="N148" s="122">
        <f t="shared" si="51"/>
        <v>0</v>
      </c>
      <c r="O148" s="115" t="e">
        <f t="shared" si="52"/>
        <v>#REF!</v>
      </c>
      <c r="P148" s="123">
        <v>44030</v>
      </c>
      <c r="Q148" s="124"/>
      <c r="R148" s="124"/>
      <c r="S148" s="124"/>
      <c r="T148" s="124"/>
      <c r="U148" s="124"/>
      <c r="V148" s="124"/>
      <c r="W148" s="124"/>
      <c r="X148" s="124" t="s">
        <v>153</v>
      </c>
      <c r="Y148" s="124"/>
      <c r="AA148" s="148" t="s">
        <v>224</v>
      </c>
    </row>
    <row r="149" spans="1:27" hidden="1" x14ac:dyDescent="0.25">
      <c r="A149" s="125" t="e">
        <f>+Purchases!#REF!</f>
        <v>#REF!</v>
      </c>
      <c r="B149" s="113"/>
      <c r="C149" s="114">
        <f>IF(ISERROR(+Purchases!#REF!),0, +Purchases!#REF!)</f>
        <v>0</v>
      </c>
      <c r="D149" s="115" t="s">
        <v>75</v>
      </c>
      <c r="E149" s="116">
        <f>IF(ISERROR(+Purchases!#REF!),0, +Purchases!#REF!)</f>
        <v>0</v>
      </c>
      <c r="F149" s="112">
        <v>1</v>
      </c>
      <c r="G149" s="117">
        <f t="shared" si="46"/>
        <v>0</v>
      </c>
      <c r="H149" s="118" t="e">
        <f>+Purchases!#REF!</f>
        <v>#REF!</v>
      </c>
      <c r="I149" s="119">
        <f t="shared" si="47"/>
        <v>0</v>
      </c>
      <c r="J149" s="120">
        <f t="shared" si="48"/>
        <v>0</v>
      </c>
      <c r="K149" s="112"/>
      <c r="L149" s="118" t="e">
        <f t="shared" si="49"/>
        <v>#REF!</v>
      </c>
      <c r="M149" s="121">
        <f t="shared" si="50"/>
        <v>0</v>
      </c>
      <c r="N149" s="122">
        <f t="shared" si="51"/>
        <v>0</v>
      </c>
      <c r="O149" s="115" t="e">
        <f t="shared" si="52"/>
        <v>#REF!</v>
      </c>
      <c r="P149" s="123">
        <v>44030</v>
      </c>
      <c r="Q149" s="124"/>
      <c r="R149" s="124"/>
      <c r="S149" s="124"/>
      <c r="T149" s="124"/>
      <c r="U149" s="124"/>
      <c r="V149" s="124"/>
      <c r="W149" s="124"/>
      <c r="X149" s="124" t="s">
        <v>153</v>
      </c>
      <c r="Y149" s="124"/>
      <c r="AA149" s="148" t="s">
        <v>224</v>
      </c>
    </row>
    <row r="150" spans="1:27" hidden="1" x14ac:dyDescent="0.25">
      <c r="A150" s="125" t="e">
        <f>+Purchases!#REF!</f>
        <v>#REF!</v>
      </c>
      <c r="B150" s="113"/>
      <c r="C150" s="114">
        <f>IF(ISERROR(+Purchases!#REF!),0, +Purchases!#REF!)</f>
        <v>0</v>
      </c>
      <c r="D150" s="115" t="s">
        <v>75</v>
      </c>
      <c r="E150" s="116">
        <f>IF(ISERROR(+Purchases!#REF!),0, +Purchases!#REF!)</f>
        <v>0</v>
      </c>
      <c r="F150" s="112">
        <v>1</v>
      </c>
      <c r="G150" s="117">
        <f t="shared" si="46"/>
        <v>0</v>
      </c>
      <c r="H150" s="118" t="e">
        <f>+Purchases!#REF!</f>
        <v>#REF!</v>
      </c>
      <c r="I150" s="119">
        <f t="shared" si="47"/>
        <v>0</v>
      </c>
      <c r="J150" s="120">
        <f t="shared" si="48"/>
        <v>0</v>
      </c>
      <c r="K150" s="112"/>
      <c r="L150" s="118" t="e">
        <f t="shared" si="49"/>
        <v>#REF!</v>
      </c>
      <c r="M150" s="121">
        <f t="shared" si="50"/>
        <v>0</v>
      </c>
      <c r="N150" s="122">
        <f t="shared" si="51"/>
        <v>0</v>
      </c>
      <c r="O150" s="115" t="e">
        <f t="shared" si="52"/>
        <v>#REF!</v>
      </c>
      <c r="P150" s="123">
        <v>44030</v>
      </c>
      <c r="Q150" s="124"/>
      <c r="R150" s="124"/>
      <c r="S150" s="124"/>
      <c r="T150" s="124"/>
      <c r="U150" s="124"/>
      <c r="V150" s="124"/>
      <c r="W150" s="124"/>
      <c r="X150" s="124" t="s">
        <v>153</v>
      </c>
      <c r="Y150" s="124"/>
      <c r="AA150" s="148" t="s">
        <v>224</v>
      </c>
    </row>
    <row r="151" spans="1:27" hidden="1" x14ac:dyDescent="0.25">
      <c r="A151" s="125" t="e">
        <f>+Purchases!#REF!</f>
        <v>#REF!</v>
      </c>
      <c r="B151" s="113"/>
      <c r="C151" s="114">
        <f>IF(ISERROR(+Purchases!#REF!),0, +Purchases!#REF!)</f>
        <v>0</v>
      </c>
      <c r="D151" s="115" t="s">
        <v>75</v>
      </c>
      <c r="E151" s="116">
        <f>IF(ISERROR(+Purchases!#REF!),0, +Purchases!#REF!)</f>
        <v>0</v>
      </c>
      <c r="F151" s="112">
        <v>1</v>
      </c>
      <c r="G151" s="117">
        <f t="shared" si="46"/>
        <v>0</v>
      </c>
      <c r="H151" s="118" t="e">
        <f>+Purchases!#REF!</f>
        <v>#REF!</v>
      </c>
      <c r="I151" s="119">
        <f t="shared" si="47"/>
        <v>0</v>
      </c>
      <c r="J151" s="120">
        <f t="shared" si="48"/>
        <v>0</v>
      </c>
      <c r="K151" s="112"/>
      <c r="L151" s="118" t="e">
        <f t="shared" si="49"/>
        <v>#REF!</v>
      </c>
      <c r="M151" s="121">
        <f t="shared" si="50"/>
        <v>0</v>
      </c>
      <c r="N151" s="122">
        <f t="shared" si="51"/>
        <v>0</v>
      </c>
      <c r="O151" s="115" t="e">
        <f t="shared" si="52"/>
        <v>#REF!</v>
      </c>
      <c r="P151" s="123">
        <v>44030</v>
      </c>
      <c r="Q151" s="124"/>
      <c r="R151" s="124"/>
      <c r="S151" s="124"/>
      <c r="T151" s="124"/>
      <c r="U151" s="124"/>
      <c r="V151" s="124"/>
      <c r="W151" s="124"/>
      <c r="X151" s="124" t="s">
        <v>153</v>
      </c>
      <c r="Y151" s="124"/>
      <c r="AA151" s="148" t="s">
        <v>224</v>
      </c>
    </row>
    <row r="152" spans="1:27" hidden="1" x14ac:dyDescent="0.25">
      <c r="A152" s="125" t="e">
        <f>+Purchases!#REF!</f>
        <v>#REF!</v>
      </c>
      <c r="B152" s="113"/>
      <c r="C152" s="114">
        <f>IF(ISERROR(+Purchases!#REF!),0, +Purchases!#REF!)</f>
        <v>0</v>
      </c>
      <c r="D152" s="115" t="s">
        <v>75</v>
      </c>
      <c r="E152" s="116">
        <f>IF(ISERROR(+Purchases!#REF!),0, +Purchases!#REF!)</f>
        <v>0</v>
      </c>
      <c r="F152" s="112">
        <v>1</v>
      </c>
      <c r="G152" s="117">
        <f t="shared" si="46"/>
        <v>0</v>
      </c>
      <c r="H152" s="118" t="e">
        <f>+Purchases!#REF!</f>
        <v>#REF!</v>
      </c>
      <c r="I152" s="119">
        <f t="shared" si="47"/>
        <v>0</v>
      </c>
      <c r="J152" s="120">
        <f t="shared" si="48"/>
        <v>0</v>
      </c>
      <c r="K152" s="112"/>
      <c r="L152" s="118" t="e">
        <f t="shared" si="49"/>
        <v>#REF!</v>
      </c>
      <c r="M152" s="121">
        <f t="shared" si="50"/>
        <v>0</v>
      </c>
      <c r="N152" s="122">
        <f t="shared" si="51"/>
        <v>0</v>
      </c>
      <c r="O152" s="115" t="e">
        <f t="shared" si="52"/>
        <v>#REF!</v>
      </c>
      <c r="P152" s="123">
        <v>44030</v>
      </c>
      <c r="Q152" s="124"/>
      <c r="R152" s="124"/>
      <c r="S152" s="124"/>
      <c r="T152" s="124"/>
      <c r="U152" s="124"/>
      <c r="V152" s="124"/>
      <c r="W152" s="124"/>
      <c r="X152" s="124" t="s">
        <v>153</v>
      </c>
      <c r="Y152" s="124"/>
      <c r="AA152" s="148" t="s">
        <v>224</v>
      </c>
    </row>
    <row r="153" spans="1:27" hidden="1" x14ac:dyDescent="0.25">
      <c r="A153" s="125" t="e">
        <f>+Purchases!#REF!</f>
        <v>#REF!</v>
      </c>
      <c r="B153" s="113"/>
      <c r="C153" s="114">
        <f>IF(ISERROR(+Purchases!#REF!),0, +Purchases!#REF!)</f>
        <v>0</v>
      </c>
      <c r="D153" s="115" t="s">
        <v>75</v>
      </c>
      <c r="E153" s="116">
        <f>IF(ISERROR(+Purchases!#REF!),0, +Purchases!#REF!)</f>
        <v>0</v>
      </c>
      <c r="F153" s="112">
        <v>1</v>
      </c>
      <c r="G153" s="117">
        <f t="shared" si="46"/>
        <v>0</v>
      </c>
      <c r="H153" s="118" t="e">
        <f>+Purchases!#REF!</f>
        <v>#REF!</v>
      </c>
      <c r="I153" s="119">
        <f t="shared" si="47"/>
        <v>0</v>
      </c>
      <c r="J153" s="120">
        <f t="shared" si="48"/>
        <v>0</v>
      </c>
      <c r="K153" s="112"/>
      <c r="L153" s="118" t="e">
        <f t="shared" si="49"/>
        <v>#REF!</v>
      </c>
      <c r="M153" s="121">
        <f t="shared" si="50"/>
        <v>0</v>
      </c>
      <c r="N153" s="122">
        <f t="shared" si="51"/>
        <v>0</v>
      </c>
      <c r="O153" s="115" t="e">
        <f t="shared" si="52"/>
        <v>#REF!</v>
      </c>
      <c r="P153" s="123">
        <v>44030</v>
      </c>
      <c r="Q153" s="124"/>
      <c r="R153" s="124"/>
      <c r="S153" s="124"/>
      <c r="T153" s="124"/>
      <c r="U153" s="124"/>
      <c r="V153" s="124"/>
      <c r="W153" s="124"/>
      <c r="X153" s="124" t="s">
        <v>153</v>
      </c>
      <c r="Y153" s="124"/>
      <c r="AA153" s="148" t="s">
        <v>224</v>
      </c>
    </row>
    <row r="154" spans="1:27" hidden="1" x14ac:dyDescent="0.25">
      <c r="A154" s="125" t="e">
        <f>+Purchases!#REF!</f>
        <v>#REF!</v>
      </c>
      <c r="B154" s="113"/>
      <c r="C154" s="114">
        <f>IF(ISERROR(+Purchases!#REF!),0, +Purchases!#REF!)</f>
        <v>0</v>
      </c>
      <c r="D154" s="115" t="s">
        <v>75</v>
      </c>
      <c r="E154" s="116">
        <f>IF(ISERROR(+Purchases!#REF!),0, +Purchases!#REF!)</f>
        <v>0</v>
      </c>
      <c r="F154" s="112">
        <v>1</v>
      </c>
      <c r="G154" s="117">
        <f t="shared" si="46"/>
        <v>0</v>
      </c>
      <c r="H154" s="118" t="e">
        <f>+Purchases!#REF!</f>
        <v>#REF!</v>
      </c>
      <c r="I154" s="119">
        <f t="shared" si="47"/>
        <v>0</v>
      </c>
      <c r="J154" s="120">
        <f t="shared" si="48"/>
        <v>0</v>
      </c>
      <c r="K154" s="112"/>
      <c r="L154" s="118" t="e">
        <f t="shared" si="49"/>
        <v>#REF!</v>
      </c>
      <c r="M154" s="121">
        <f t="shared" si="50"/>
        <v>0</v>
      </c>
      <c r="N154" s="122">
        <f t="shared" si="51"/>
        <v>0</v>
      </c>
      <c r="O154" s="115" t="e">
        <f t="shared" si="52"/>
        <v>#REF!</v>
      </c>
      <c r="P154" s="123">
        <v>44030</v>
      </c>
      <c r="Q154" s="124"/>
      <c r="R154" s="124"/>
      <c r="S154" s="124"/>
      <c r="T154" s="124"/>
      <c r="U154" s="124"/>
      <c r="V154" s="124"/>
      <c r="W154" s="124"/>
      <c r="X154" s="124" t="s">
        <v>153</v>
      </c>
      <c r="Y154" s="124"/>
      <c r="AA154" s="148" t="s">
        <v>224</v>
      </c>
    </row>
    <row r="155" spans="1:27" hidden="1" x14ac:dyDescent="0.25">
      <c r="A155" s="125" t="e">
        <f>+Purchases!#REF!</f>
        <v>#REF!</v>
      </c>
      <c r="B155" s="113"/>
      <c r="C155" s="114">
        <f>IF(ISERROR(+Purchases!#REF!),0, +Purchases!#REF!)</f>
        <v>0</v>
      </c>
      <c r="D155" s="115" t="s">
        <v>75</v>
      </c>
      <c r="E155" s="116">
        <f>IF(ISERROR(+Purchases!#REF!),0, +Purchases!#REF!)</f>
        <v>0</v>
      </c>
      <c r="F155" s="112">
        <v>1</v>
      </c>
      <c r="G155" s="117">
        <f t="shared" si="46"/>
        <v>0</v>
      </c>
      <c r="H155" s="118" t="e">
        <f>+Purchases!#REF!</f>
        <v>#REF!</v>
      </c>
      <c r="I155" s="119">
        <f t="shared" si="47"/>
        <v>0</v>
      </c>
      <c r="J155" s="120">
        <f t="shared" si="48"/>
        <v>0</v>
      </c>
      <c r="K155" s="112"/>
      <c r="L155" s="118" t="e">
        <f t="shared" si="49"/>
        <v>#REF!</v>
      </c>
      <c r="M155" s="121">
        <f t="shared" si="50"/>
        <v>0</v>
      </c>
      <c r="N155" s="122">
        <f t="shared" si="51"/>
        <v>0</v>
      </c>
      <c r="O155" s="115" t="e">
        <f t="shared" si="52"/>
        <v>#REF!</v>
      </c>
      <c r="P155" s="123">
        <v>44030</v>
      </c>
      <c r="Q155" s="124"/>
      <c r="R155" s="124"/>
      <c r="S155" s="124"/>
      <c r="T155" s="124"/>
      <c r="U155" s="124"/>
      <c r="V155" s="124"/>
      <c r="W155" s="124"/>
      <c r="X155" s="124" t="s">
        <v>153</v>
      </c>
      <c r="Y155" s="124"/>
      <c r="AA155" s="148" t="s">
        <v>224</v>
      </c>
    </row>
    <row r="156" spans="1:27" hidden="1" x14ac:dyDescent="0.25">
      <c r="A156" s="125" t="e">
        <f>+Purchases!#REF!</f>
        <v>#REF!</v>
      </c>
      <c r="B156" s="113"/>
      <c r="C156" s="114">
        <f>IF(ISERROR(+Purchases!#REF!),0, +Purchases!#REF!)</f>
        <v>0</v>
      </c>
      <c r="D156" s="115" t="s">
        <v>75</v>
      </c>
      <c r="E156" s="116">
        <f>IF(ISERROR(+Purchases!#REF!),0, +Purchases!#REF!)</f>
        <v>0</v>
      </c>
      <c r="F156" s="112">
        <v>1</v>
      </c>
      <c r="G156" s="117">
        <f t="shared" si="46"/>
        <v>0</v>
      </c>
      <c r="H156" s="118" t="e">
        <f>+Purchases!#REF!</f>
        <v>#REF!</v>
      </c>
      <c r="I156" s="119">
        <f t="shared" si="47"/>
        <v>0</v>
      </c>
      <c r="J156" s="120">
        <f t="shared" si="48"/>
        <v>0</v>
      </c>
      <c r="K156" s="112"/>
      <c r="L156" s="118" t="e">
        <f t="shared" ref="L156:L163" si="53">IF( $B$3 = 1,  G156,H156 )</f>
        <v>#REF!</v>
      </c>
      <c r="M156" s="121">
        <f t="shared" ref="M156:M163" si="54">+I156</f>
        <v>0</v>
      </c>
      <c r="N156" s="122">
        <f t="shared" ref="N156:N163" si="55">+J156</f>
        <v>0</v>
      </c>
      <c r="O156" s="115" t="e">
        <f t="shared" si="52"/>
        <v>#REF!</v>
      </c>
      <c r="P156" s="123">
        <v>44030</v>
      </c>
      <c r="Q156" s="124"/>
      <c r="R156" s="124"/>
      <c r="S156" s="124"/>
      <c r="T156" s="124"/>
      <c r="U156" s="124"/>
      <c r="V156" s="124"/>
      <c r="W156" s="124"/>
      <c r="X156" s="124" t="s">
        <v>153</v>
      </c>
      <c r="Y156" s="124"/>
      <c r="AA156" s="148" t="s">
        <v>224</v>
      </c>
    </row>
    <row r="157" spans="1:27" hidden="1" x14ac:dyDescent="0.25">
      <c r="A157" s="125" t="e">
        <f>+Purchases!#REF!</f>
        <v>#REF!</v>
      </c>
      <c r="B157" s="113"/>
      <c r="C157" s="114">
        <f>IF(ISERROR(+Purchases!#REF!),0, +Purchases!#REF!)</f>
        <v>0</v>
      </c>
      <c r="D157" s="115" t="s">
        <v>75</v>
      </c>
      <c r="E157" s="116">
        <f>IF(ISERROR(+Purchases!#REF!),0, +Purchases!#REF!)</f>
        <v>0</v>
      </c>
      <c r="F157" s="112">
        <v>1</v>
      </c>
      <c r="G157" s="117">
        <f t="shared" si="46"/>
        <v>0</v>
      </c>
      <c r="H157" s="118" t="e">
        <f>+Purchases!#REF!</f>
        <v>#REF!</v>
      </c>
      <c r="I157" s="119">
        <f t="shared" si="47"/>
        <v>0</v>
      </c>
      <c r="J157" s="120">
        <f t="shared" si="48"/>
        <v>0</v>
      </c>
      <c r="K157" s="112"/>
      <c r="L157" s="118" t="e">
        <f t="shared" si="53"/>
        <v>#REF!</v>
      </c>
      <c r="M157" s="121">
        <f t="shared" si="54"/>
        <v>0</v>
      </c>
      <c r="N157" s="122">
        <f t="shared" si="55"/>
        <v>0</v>
      </c>
      <c r="O157" s="115" t="e">
        <f t="shared" si="52"/>
        <v>#REF!</v>
      </c>
      <c r="P157" s="123">
        <v>44030</v>
      </c>
      <c r="Q157" s="124"/>
      <c r="R157" s="124"/>
      <c r="S157" s="124"/>
      <c r="T157" s="124"/>
      <c r="U157" s="124"/>
      <c r="V157" s="124"/>
      <c r="W157" s="124"/>
      <c r="X157" s="124" t="s">
        <v>153</v>
      </c>
      <c r="Y157" s="124"/>
      <c r="AA157" s="148" t="s">
        <v>224</v>
      </c>
    </row>
    <row r="158" spans="1:27" hidden="1" x14ac:dyDescent="0.25">
      <c r="A158" s="125" t="e">
        <f>+Purchases!#REF!</f>
        <v>#REF!</v>
      </c>
      <c r="B158" s="113"/>
      <c r="C158" s="114">
        <f>IF(ISERROR(+Purchases!#REF!),0, +Purchases!#REF!)</f>
        <v>0</v>
      </c>
      <c r="D158" s="115" t="s">
        <v>75</v>
      </c>
      <c r="E158" s="116">
        <f>IF(ISERROR(+Purchases!#REF!),0, +Purchases!#REF!)</f>
        <v>0</v>
      </c>
      <c r="F158" s="112">
        <v>1</v>
      </c>
      <c r="G158" s="117">
        <f t="shared" si="46"/>
        <v>0</v>
      </c>
      <c r="H158" s="118" t="e">
        <f>+Purchases!#REF!</f>
        <v>#REF!</v>
      </c>
      <c r="I158" s="119">
        <f t="shared" si="47"/>
        <v>0</v>
      </c>
      <c r="J158" s="120">
        <f t="shared" si="48"/>
        <v>0</v>
      </c>
      <c r="K158" s="112"/>
      <c r="L158" s="118" t="e">
        <f t="shared" si="53"/>
        <v>#REF!</v>
      </c>
      <c r="M158" s="121">
        <f t="shared" si="54"/>
        <v>0</v>
      </c>
      <c r="N158" s="122">
        <f t="shared" si="55"/>
        <v>0</v>
      </c>
      <c r="O158" s="115" t="e">
        <f t="shared" si="52"/>
        <v>#REF!</v>
      </c>
      <c r="P158" s="123">
        <v>44030</v>
      </c>
      <c r="Q158" s="124"/>
      <c r="R158" s="124"/>
      <c r="S158" s="124"/>
      <c r="T158" s="124"/>
      <c r="U158" s="124"/>
      <c r="V158" s="124"/>
      <c r="W158" s="124"/>
      <c r="X158" s="124" t="s">
        <v>153</v>
      </c>
      <c r="Y158" s="124"/>
      <c r="AA158" s="148" t="s">
        <v>224</v>
      </c>
    </row>
    <row r="159" spans="1:27" hidden="1" x14ac:dyDescent="0.25">
      <c r="A159" s="125" t="e">
        <f>+Purchases!#REF!</f>
        <v>#REF!</v>
      </c>
      <c r="B159" s="113"/>
      <c r="C159" s="114">
        <f>IF(ISERROR(+Purchases!#REF!),0, +Purchases!#REF!)</f>
        <v>0</v>
      </c>
      <c r="D159" s="115" t="s">
        <v>75</v>
      </c>
      <c r="E159" s="116">
        <f>IF(ISERROR(+Purchases!#REF!),0, +Purchases!#REF!)</f>
        <v>0</v>
      </c>
      <c r="F159" s="112">
        <v>1</v>
      </c>
      <c r="G159" s="117">
        <f t="shared" si="46"/>
        <v>0</v>
      </c>
      <c r="H159" s="118"/>
      <c r="I159" s="119">
        <f t="shared" si="47"/>
        <v>0</v>
      </c>
      <c r="J159" s="120">
        <f t="shared" si="48"/>
        <v>0</v>
      </c>
      <c r="K159" s="112"/>
      <c r="L159" s="118">
        <f t="shared" si="53"/>
        <v>0</v>
      </c>
      <c r="M159" s="121">
        <f t="shared" si="54"/>
        <v>0</v>
      </c>
      <c r="N159" s="122">
        <f t="shared" si="55"/>
        <v>0</v>
      </c>
      <c r="O159" s="115" t="e">
        <f t="shared" si="52"/>
        <v>#REF!</v>
      </c>
      <c r="P159" s="123">
        <v>44030</v>
      </c>
      <c r="Q159" s="124"/>
      <c r="R159" s="124"/>
      <c r="S159" s="124"/>
      <c r="T159" s="124"/>
      <c r="U159" s="124"/>
      <c r="V159" s="124"/>
      <c r="W159" s="124"/>
      <c r="X159" s="124" t="s">
        <v>153</v>
      </c>
      <c r="Y159" s="124"/>
      <c r="AA159" s="148" t="s">
        <v>224</v>
      </c>
    </row>
    <row r="160" spans="1:27" hidden="1" x14ac:dyDescent="0.25">
      <c r="A160" s="125" t="e">
        <f>+Purchases!#REF!</f>
        <v>#REF!</v>
      </c>
      <c r="B160" s="113"/>
      <c r="C160" s="114">
        <f>IF(ISERROR(+Purchases!#REF!),0, +Purchases!#REF!)</f>
        <v>0</v>
      </c>
      <c r="D160" s="115" t="s">
        <v>75</v>
      </c>
      <c r="E160" s="116">
        <f>IF(ISERROR(+Purchases!#REF!),0, +Purchases!#REF!)</f>
        <v>0</v>
      </c>
      <c r="F160" s="112">
        <v>1</v>
      </c>
      <c r="G160" s="117">
        <f t="shared" si="46"/>
        <v>0</v>
      </c>
      <c r="H160" s="118"/>
      <c r="I160" s="119">
        <f t="shared" si="47"/>
        <v>0</v>
      </c>
      <c r="J160" s="120">
        <f t="shared" si="48"/>
        <v>0</v>
      </c>
      <c r="K160" s="112"/>
      <c r="L160" s="118">
        <f t="shared" si="53"/>
        <v>0</v>
      </c>
      <c r="M160" s="121">
        <f t="shared" si="54"/>
        <v>0</v>
      </c>
      <c r="N160" s="122">
        <f t="shared" si="55"/>
        <v>0</v>
      </c>
      <c r="O160" s="115" t="e">
        <f t="shared" si="52"/>
        <v>#REF!</v>
      </c>
      <c r="P160" s="123">
        <v>44030</v>
      </c>
      <c r="Q160" s="124"/>
      <c r="R160" s="124"/>
      <c r="S160" s="124"/>
      <c r="T160" s="124"/>
      <c r="U160" s="124"/>
      <c r="V160" s="124"/>
      <c r="W160" s="124"/>
      <c r="X160" s="124" t="s">
        <v>153</v>
      </c>
      <c r="Y160" s="124"/>
      <c r="AA160" s="148" t="s">
        <v>224</v>
      </c>
    </row>
    <row r="161" spans="1:27" hidden="1" x14ac:dyDescent="0.25">
      <c r="A161" s="125" t="e">
        <f>+Purchases!#REF!</f>
        <v>#REF!</v>
      </c>
      <c r="B161" s="113"/>
      <c r="C161" s="114">
        <f>IF(ISERROR(+Purchases!#REF!),0, +Purchases!#REF!)</f>
        <v>0</v>
      </c>
      <c r="D161" s="115" t="s">
        <v>75</v>
      </c>
      <c r="E161" s="116">
        <f>IF(ISERROR(+Purchases!#REF!),0, +Purchases!#REF!)</f>
        <v>0</v>
      </c>
      <c r="F161" s="112">
        <v>1</v>
      </c>
      <c r="G161" s="117">
        <f t="shared" si="46"/>
        <v>0</v>
      </c>
      <c r="H161" s="118"/>
      <c r="I161" s="119">
        <f t="shared" si="47"/>
        <v>0</v>
      </c>
      <c r="J161" s="120">
        <f t="shared" si="48"/>
        <v>0</v>
      </c>
      <c r="K161" s="112"/>
      <c r="L161" s="118">
        <f t="shared" si="53"/>
        <v>0</v>
      </c>
      <c r="M161" s="121">
        <f t="shared" si="54"/>
        <v>0</v>
      </c>
      <c r="N161" s="122">
        <f t="shared" si="55"/>
        <v>0</v>
      </c>
      <c r="O161" s="115" t="e">
        <f t="shared" si="52"/>
        <v>#REF!</v>
      </c>
      <c r="P161" s="123">
        <v>44030</v>
      </c>
      <c r="Q161" s="124"/>
      <c r="R161" s="124"/>
      <c r="S161" s="124"/>
      <c r="T161" s="124"/>
      <c r="U161" s="124"/>
      <c r="V161" s="124"/>
      <c r="W161" s="124"/>
      <c r="X161" s="124" t="s">
        <v>153</v>
      </c>
      <c r="Y161" s="124"/>
      <c r="AA161" s="148" t="s">
        <v>224</v>
      </c>
    </row>
    <row r="162" spans="1:27" hidden="1" x14ac:dyDescent="0.25">
      <c r="A162" s="125" t="e">
        <f>+Purchases!#REF!</f>
        <v>#REF!</v>
      </c>
      <c r="B162" s="113"/>
      <c r="C162" s="114">
        <f>IF(ISERROR(+Purchases!#REF!),0, +Purchases!#REF!)</f>
        <v>0</v>
      </c>
      <c r="D162" s="115" t="s">
        <v>75</v>
      </c>
      <c r="E162" s="116">
        <f>IF(ISERROR(+Purchases!#REF!),0, +Purchases!#REF!)</f>
        <v>0</v>
      </c>
      <c r="F162" s="112">
        <v>1</v>
      </c>
      <c r="G162" s="117">
        <f t="shared" si="46"/>
        <v>0</v>
      </c>
      <c r="H162" s="118"/>
      <c r="I162" s="119">
        <f t="shared" si="47"/>
        <v>0</v>
      </c>
      <c r="J162" s="120">
        <f t="shared" si="48"/>
        <v>0</v>
      </c>
      <c r="K162" s="112"/>
      <c r="L162" s="118">
        <f t="shared" si="53"/>
        <v>0</v>
      </c>
      <c r="M162" s="121">
        <f t="shared" si="54"/>
        <v>0</v>
      </c>
      <c r="N162" s="122">
        <f t="shared" si="55"/>
        <v>0</v>
      </c>
      <c r="O162" s="115" t="e">
        <f t="shared" si="52"/>
        <v>#REF!</v>
      </c>
      <c r="P162" s="123">
        <v>44030</v>
      </c>
      <c r="Q162" s="124"/>
      <c r="R162" s="124"/>
      <c r="S162" s="124"/>
      <c r="T162" s="124"/>
      <c r="U162" s="124"/>
      <c r="V162" s="124"/>
      <c r="W162" s="124"/>
      <c r="X162" s="124" t="s">
        <v>153</v>
      </c>
      <c r="Y162" s="124"/>
      <c r="AA162" s="148" t="s">
        <v>224</v>
      </c>
    </row>
    <row r="163" spans="1:27" hidden="1" x14ac:dyDescent="0.25">
      <c r="A163" s="125" t="e">
        <f>+Purchases!#REF!</f>
        <v>#REF!</v>
      </c>
      <c r="B163" s="113"/>
      <c r="C163" s="114">
        <f>IF(ISERROR(+Purchases!#REF!),0, +Purchases!#REF!)</f>
        <v>0</v>
      </c>
      <c r="D163" s="115" t="s">
        <v>75</v>
      </c>
      <c r="E163" s="116">
        <f>IF(ISERROR(+Purchases!#REF!),0, +Purchases!#REF!)</f>
        <v>0</v>
      </c>
      <c r="F163" s="112">
        <v>1</v>
      </c>
      <c r="G163" s="117">
        <f t="shared" si="46"/>
        <v>0</v>
      </c>
      <c r="H163" s="118"/>
      <c r="I163" s="119">
        <f t="shared" si="47"/>
        <v>0</v>
      </c>
      <c r="J163" s="120">
        <f t="shared" si="48"/>
        <v>0</v>
      </c>
      <c r="K163" s="112"/>
      <c r="L163" s="118">
        <f t="shared" si="53"/>
        <v>0</v>
      </c>
      <c r="M163" s="121">
        <f t="shared" si="54"/>
        <v>0</v>
      </c>
      <c r="N163" s="122">
        <f t="shared" si="55"/>
        <v>0</v>
      </c>
      <c r="O163" s="115" t="e">
        <f t="shared" si="52"/>
        <v>#REF!</v>
      </c>
      <c r="P163" s="123">
        <v>44030</v>
      </c>
      <c r="Q163" s="124"/>
      <c r="R163" s="124"/>
      <c r="S163" s="124"/>
      <c r="T163" s="124"/>
      <c r="U163" s="124"/>
      <c r="V163" s="124"/>
      <c r="W163" s="124"/>
      <c r="X163" s="124" t="s">
        <v>153</v>
      </c>
      <c r="Y163" s="124"/>
      <c r="AA163" s="148" t="s">
        <v>224</v>
      </c>
    </row>
    <row r="164" spans="1:27" x14ac:dyDescent="0.25">
      <c r="B164" s="684"/>
      <c r="C164" s="26" t="s">
        <v>478</v>
      </c>
    </row>
    <row r="165" spans="1:27" x14ac:dyDescent="0.25">
      <c r="B165" s="262"/>
      <c r="C165" s="26" t="s">
        <v>490</v>
      </c>
    </row>
    <row r="166" spans="1:27" x14ac:dyDescent="0.25">
      <c r="J166" s="193"/>
    </row>
    <row r="167" spans="1:27" x14ac:dyDescent="0.25">
      <c r="J167" s="193"/>
    </row>
  </sheetData>
  <sheetProtection algorithmName="SHA-512" hashValue="UXCHtPmiC+5dqxtUDGD6N2OW1ZJFhsgoQkaMyhSpf/vP57W/1S9cwvVePnzZlXeoGexjIr5J6QMKz0j+IH+wNg==" saltValue="CSCSST1LfmHTqBDv7k0GGQ==" spinCount="100000" sheet="1" objects="1" scenarios="1"/>
  <mergeCells count="4">
    <mergeCell ref="G1:G2"/>
    <mergeCell ref="H1:H2"/>
    <mergeCell ref="J1:J2"/>
    <mergeCell ref="AB1:AB2"/>
  </mergeCells>
  <phoneticPr fontId="62" type="noConversion"/>
  <pageMargins left="0.7" right="0.7" top="0.75" bottom="0.75" header="0.3" footer="0.3"/>
  <pageSetup orientation="portrait" horizontalDpi="4294967293" verticalDpi="300" r:id="rId1"/>
  <headerFooter>
    <oddFooter>&amp;R_x000D_&amp;1#&amp;"Calibri"&amp;22&amp;KFF8939 RESTRICTED</oddFooter>
  </headerFooter>
  <ignoredErrors>
    <ignoredError sqref="I8 I50 I11 L92:M92" formula="1"/>
    <ignoredError sqref="L90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Disclaimer</vt:lpstr>
      <vt:lpstr>Purchases</vt:lpstr>
      <vt:lpstr>Rebate_Summary</vt:lpstr>
      <vt:lpstr>Product Acreage Chart</vt:lpstr>
      <vt:lpstr>Program Details-BV West</vt:lpstr>
      <vt:lpstr>BV West- with Hot Potatoes</vt:lpstr>
      <vt:lpstr>RebateSummary</vt:lpstr>
      <vt:lpstr>Pkge</vt:lpstr>
      <vt:lpstr>Rebate_Summary!Print_Area</vt:lpstr>
      <vt:lpstr>RebateSummary!Print_Area</vt:lpstr>
      <vt:lpstr>Rebate_Summary!Print_Titles</vt:lpstr>
    </vt:vector>
  </TitlesOfParts>
  <Company>Holovach Consulting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Holovach</dc:creator>
  <cp:lastModifiedBy>Tiffany Gogowich</cp:lastModifiedBy>
  <cp:lastPrinted>2025-01-10T08:01:32Z</cp:lastPrinted>
  <dcterms:created xsi:type="dcterms:W3CDTF">2018-12-18T03:59:17Z</dcterms:created>
  <dcterms:modified xsi:type="dcterms:W3CDTF">2025-01-13T23:57:48Z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c76c141-ac86-40e5-abf2-c6f60e474cee_Enabled">
    <vt:lpwstr>true</vt:lpwstr>
  </property>
  <property fmtid="{D5CDD505-2E9C-101B-9397-08002B2CF9AE}" pid="3" name="MSIP_Label_2c76c141-ac86-40e5-abf2-c6f60e474cee_SetDate">
    <vt:lpwstr>2025-01-13T23:56:35Z</vt:lpwstr>
  </property>
  <property fmtid="{D5CDD505-2E9C-101B-9397-08002B2CF9AE}" pid="4" name="MSIP_Label_2c76c141-ac86-40e5-abf2-c6f60e474cee_Method">
    <vt:lpwstr>Standard</vt:lpwstr>
  </property>
  <property fmtid="{D5CDD505-2E9C-101B-9397-08002B2CF9AE}" pid="5" name="MSIP_Label_2c76c141-ac86-40e5-abf2-c6f60e474cee_Name">
    <vt:lpwstr>2c76c141-ac86-40e5-abf2-c6f60e474cee</vt:lpwstr>
  </property>
  <property fmtid="{D5CDD505-2E9C-101B-9397-08002B2CF9AE}" pid="6" name="MSIP_Label_2c76c141-ac86-40e5-abf2-c6f60e474cee_SiteId">
    <vt:lpwstr>fcb2b37b-5da0-466b-9b83-0014b67a7c78</vt:lpwstr>
  </property>
  <property fmtid="{D5CDD505-2E9C-101B-9397-08002B2CF9AE}" pid="7" name="MSIP_Label_2c76c141-ac86-40e5-abf2-c6f60e474cee_ActionId">
    <vt:lpwstr>b81c9b80-458c-4adc-8326-f9cdd2b71a6f</vt:lpwstr>
  </property>
  <property fmtid="{D5CDD505-2E9C-101B-9397-08002B2CF9AE}" pid="8" name="MSIP_Label_2c76c141-ac86-40e5-abf2-c6f60e474cee_ContentBits">
    <vt:lpwstr>2</vt:lpwstr>
  </property>
</Properties>
</file>