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activeX/activeX1.bin" ContentType="application/vnd.ms-office.activeX"/>
  <Override PartName="/xl/activeX/activeX2.bin" ContentType="application/vnd.ms-office.activeX"/>
  <Override PartName="/xl/activeX/activeX3.bin" ContentType="application/vnd.ms-office.activeX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0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7d3b4178d65604c/Documents/BayerValue2019/2025/FinishedCalculators/"/>
    </mc:Choice>
  </mc:AlternateContent>
  <xr:revisionPtr revIDLastSave="78" documentId="8_{74314AF8-5C05-44C0-961C-D6B6D3ED310E}" xr6:coauthVersionLast="47" xr6:coauthVersionMax="47" xr10:uidLastSave="{64F59143-1DD1-4DAA-B7D9-95D99C96BD58}"/>
  <workbookProtection workbookAlgorithmName="SHA-512" workbookHashValue="hFe3Wa0nYknG2CWkp8JhCpHaoE2dJGxx7Nn7xEKSLVaIG4QVui6sGmtAfD+nnwuzNmZXsAV0LjcEQSKxzJTgtw==" workbookSaltValue="WVd8ALTTDccTi3/KAaKa/g==" workbookSpinCount="100000" lockStructure="1"/>
  <bookViews>
    <workbookView xWindow="-120" yWindow="-120" windowWidth="20730" windowHeight="11040" tabRatio="638" firstSheet="1" activeTab="1" xr2:uid="{00000000-000D-0000-FFFF-FFFF00000000}"/>
  </bookViews>
  <sheets>
    <sheet name="Disclaimer" sheetId="9" r:id="rId1"/>
    <sheet name="Purchases" sheetId="1" r:id="rId2"/>
    <sheet name="Rebate_Summary" sheetId="5" r:id="rId3"/>
    <sheet name="Acre Conversions" sheetId="10" r:id="rId4"/>
    <sheet name="Program Description" sheetId="8" r:id="rId5"/>
    <sheet name="Pkge" sheetId="7" state="hidden" r:id="rId6"/>
  </sheets>
  <definedNames>
    <definedName name="_xlnm._FilterDatabase" localSheetId="5" hidden="1">Pkge!$A$107:$AD$153</definedName>
    <definedName name="_xlnm._FilterDatabase" localSheetId="1" hidden="1">Purchases!#REF!</definedName>
    <definedName name="_xlnm.Print_Area" localSheetId="2">Rebate_Summary!$B$1:$N$65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36" i="7" l="1"/>
  <c r="G136" i="7" s="1"/>
  <c r="C61" i="1"/>
  <c r="J33" i="1"/>
  <c r="AB132" i="7"/>
  <c r="AB131" i="7"/>
  <c r="AB145" i="7"/>
  <c r="AB134" i="7"/>
  <c r="AB133" i="7"/>
  <c r="AB126" i="7"/>
  <c r="AB125" i="7"/>
  <c r="AB124" i="7"/>
  <c r="AB123" i="7"/>
  <c r="G59" i="5"/>
  <c r="B95" i="1"/>
  <c r="J136" i="7" l="1"/>
  <c r="I136" i="7"/>
  <c r="C62" i="1"/>
  <c r="B85" i="1" s="1"/>
  <c r="C59" i="1"/>
  <c r="F32" i="1"/>
  <c r="F33" i="1"/>
  <c r="F31" i="1"/>
  <c r="F30" i="1"/>
  <c r="F29" i="1"/>
  <c r="H33" i="5"/>
  <c r="H86" i="1"/>
  <c r="I55" i="5" s="1"/>
  <c r="G58" i="5" s="1"/>
  <c r="F20" i="1"/>
  <c r="F19" i="1"/>
  <c r="F22" i="1"/>
  <c r="F21" i="1"/>
  <c r="F13" i="1"/>
  <c r="G57" i="5"/>
  <c r="K52" i="5"/>
  <c r="K53" i="5"/>
  <c r="K54" i="5"/>
  <c r="K51" i="5"/>
  <c r="K45" i="5"/>
  <c r="I45" i="5"/>
  <c r="G45" i="5"/>
  <c r="M45" i="5"/>
  <c r="E45" i="5"/>
  <c r="D45" i="5"/>
  <c r="B45" i="5"/>
  <c r="H146" i="7"/>
  <c r="I146" i="7" s="1"/>
  <c r="J29" i="1"/>
  <c r="H149" i="7"/>
  <c r="J149" i="7" s="1"/>
  <c r="H150" i="7"/>
  <c r="J150" i="7" s="1"/>
  <c r="H151" i="7"/>
  <c r="I151" i="7" s="1"/>
  <c r="I16" i="1" s="1"/>
  <c r="H152" i="7"/>
  <c r="G152" i="7" s="1"/>
  <c r="H17" i="1" s="1"/>
  <c r="H153" i="7"/>
  <c r="I153" i="7" s="1"/>
  <c r="I18" i="1" s="1"/>
  <c r="H148" i="7"/>
  <c r="G148" i="7" s="1"/>
  <c r="H13" i="1" s="1"/>
  <c r="H147" i="7"/>
  <c r="J147" i="7" s="1"/>
  <c r="F16" i="1"/>
  <c r="F17" i="1"/>
  <c r="F18" i="1"/>
  <c r="F14" i="1"/>
  <c r="F15" i="1"/>
  <c r="B34" i="1"/>
  <c r="B33" i="1"/>
  <c r="O153" i="7"/>
  <c r="O152" i="7"/>
  <c r="O151" i="7"/>
  <c r="O150" i="7"/>
  <c r="O149" i="7"/>
  <c r="O148" i="7"/>
  <c r="O147" i="7"/>
  <c r="O146" i="7"/>
  <c r="G7" i="5"/>
  <c r="I5" i="5"/>
  <c r="C60" i="1"/>
  <c r="G90" i="1" l="1"/>
  <c r="J31" i="1" s="1"/>
  <c r="G146" i="7"/>
  <c r="J146" i="7"/>
  <c r="I149" i="7"/>
  <c r="I14" i="1" s="1"/>
  <c r="I152" i="7"/>
  <c r="I17" i="1" s="1"/>
  <c r="E33" i="1"/>
  <c r="I150" i="7"/>
  <c r="I15" i="1" s="1"/>
  <c r="I148" i="7"/>
  <c r="I13" i="1" s="1"/>
  <c r="I147" i="7"/>
  <c r="E34" i="1" s="1"/>
  <c r="J152" i="7"/>
  <c r="J148" i="7"/>
  <c r="G147" i="7"/>
  <c r="D34" i="1" s="1"/>
  <c r="G149" i="7"/>
  <c r="H14" i="1" s="1"/>
  <c r="J151" i="7"/>
  <c r="G151" i="7"/>
  <c r="H16" i="1" s="1"/>
  <c r="G153" i="7"/>
  <c r="H18" i="1" s="1"/>
  <c r="G150" i="7"/>
  <c r="H15" i="1" s="1"/>
  <c r="J153" i="7"/>
  <c r="H145" i="7"/>
  <c r="I145" i="7" s="1"/>
  <c r="M145" i="7" s="1"/>
  <c r="O145" i="7"/>
  <c r="L153" i="7" l="1"/>
  <c r="F82" i="1" s="1"/>
  <c r="G51" i="5" s="1"/>
  <c r="N153" i="7"/>
  <c r="M153" i="7"/>
  <c r="D33" i="1"/>
  <c r="I32" i="1"/>
  <c r="G145" i="7"/>
  <c r="L145" i="7" s="1"/>
  <c r="J145" i="7"/>
  <c r="N145" i="7" s="1"/>
  <c r="F24" i="1"/>
  <c r="G92" i="1"/>
  <c r="G60" i="5" s="1"/>
  <c r="H144" i="7"/>
  <c r="I144" i="7" s="1"/>
  <c r="B19" i="1"/>
  <c r="O144" i="7"/>
  <c r="J35" i="1"/>
  <c r="H32" i="1" l="1"/>
  <c r="G144" i="7"/>
  <c r="D19" i="1" s="1"/>
  <c r="J144" i="7"/>
  <c r="E19" i="1"/>
  <c r="R13" i="1"/>
  <c r="AA2" i="1"/>
  <c r="H134" i="7"/>
  <c r="J134" i="7" s="1"/>
  <c r="H133" i="7"/>
  <c r="J133" i="7" s="1"/>
  <c r="O134" i="7"/>
  <c r="R6" i="1"/>
  <c r="B30" i="1"/>
  <c r="B84" i="1"/>
  <c r="H126" i="7"/>
  <c r="J126" i="7" s="1"/>
  <c r="H125" i="7"/>
  <c r="O126" i="7"/>
  <c r="F18" i="5"/>
  <c r="I18" i="5"/>
  <c r="C56" i="1"/>
  <c r="B82" i="1" s="1"/>
  <c r="H143" i="7"/>
  <c r="G143" i="7" s="1"/>
  <c r="L143" i="7" s="1"/>
  <c r="E56" i="1" s="1"/>
  <c r="B17" i="1"/>
  <c r="O143" i="7"/>
  <c r="H139" i="7"/>
  <c r="B29" i="1"/>
  <c r="F41" i="5"/>
  <c r="F22" i="5"/>
  <c r="I22" i="5"/>
  <c r="F23" i="1"/>
  <c r="H140" i="7"/>
  <c r="H138" i="7"/>
  <c r="I23" i="5"/>
  <c r="F23" i="5"/>
  <c r="H142" i="7"/>
  <c r="E42" i="1"/>
  <c r="B7" i="5" s="1"/>
  <c r="B10" i="1"/>
  <c r="G141" i="7"/>
  <c r="O141" i="7"/>
  <c r="J13" i="1"/>
  <c r="F28" i="1"/>
  <c r="F27" i="1"/>
  <c r="F25" i="1"/>
  <c r="B32" i="1"/>
  <c r="B31" i="1"/>
  <c r="B27" i="1"/>
  <c r="B26" i="1"/>
  <c r="B25" i="1"/>
  <c r="B24" i="1"/>
  <c r="B20" i="1"/>
  <c r="B21" i="1"/>
  <c r="B22" i="1"/>
  <c r="B23" i="1"/>
  <c r="B18" i="1"/>
  <c r="B14" i="1"/>
  <c r="B15" i="1"/>
  <c r="B16" i="1"/>
  <c r="B13" i="1"/>
  <c r="D1" i="1"/>
  <c r="D18" i="5" l="1"/>
  <c r="C82" i="1"/>
  <c r="D51" i="5" s="1"/>
  <c r="C18" i="5"/>
  <c r="G133" i="7"/>
  <c r="H31" i="1" s="1"/>
  <c r="G134" i="7"/>
  <c r="I134" i="7"/>
  <c r="I33" i="1" s="1"/>
  <c r="I133" i="7"/>
  <c r="I31" i="1" s="1"/>
  <c r="G126" i="7"/>
  <c r="H22" i="1" s="1"/>
  <c r="I125" i="7"/>
  <c r="I21" i="1" s="1"/>
  <c r="J125" i="7"/>
  <c r="I126" i="7"/>
  <c r="I22" i="1" s="1"/>
  <c r="G125" i="7"/>
  <c r="H21" i="1" s="1"/>
  <c r="D17" i="1"/>
  <c r="J143" i="7"/>
  <c r="N143" i="7" s="1"/>
  <c r="I143" i="7"/>
  <c r="J141" i="7"/>
  <c r="I141" i="7"/>
  <c r="C5" i="5"/>
  <c r="F3" i="5"/>
  <c r="F38" i="5"/>
  <c r="E33" i="5"/>
  <c r="B36" i="5"/>
  <c r="B35" i="5"/>
  <c r="I11" i="5"/>
  <c r="I12" i="5"/>
  <c r="I13" i="5"/>
  <c r="I14" i="5"/>
  <c r="I16" i="5"/>
  <c r="I17" i="5"/>
  <c r="I19" i="5"/>
  <c r="I20" i="5"/>
  <c r="I21" i="5"/>
  <c r="I24" i="5"/>
  <c r="I25" i="5"/>
  <c r="I27" i="5"/>
  <c r="I28" i="5"/>
  <c r="I29" i="5"/>
  <c r="I30" i="5"/>
  <c r="I31" i="5"/>
  <c r="I32" i="5"/>
  <c r="I10" i="5"/>
  <c r="F11" i="5"/>
  <c r="F12" i="5"/>
  <c r="F13" i="5"/>
  <c r="F14" i="5"/>
  <c r="F16" i="5"/>
  <c r="F17" i="5"/>
  <c r="F19" i="5"/>
  <c r="F20" i="5"/>
  <c r="F21" i="5"/>
  <c r="F24" i="5"/>
  <c r="F25" i="5"/>
  <c r="F27" i="5"/>
  <c r="F28" i="5"/>
  <c r="F29" i="5"/>
  <c r="F30" i="5"/>
  <c r="F31" i="5"/>
  <c r="F32" i="5"/>
  <c r="F10" i="5"/>
  <c r="E8" i="5"/>
  <c r="C8" i="5"/>
  <c r="B27" i="5"/>
  <c r="B16" i="5"/>
  <c r="B10" i="5"/>
  <c r="C65" i="1"/>
  <c r="C27" i="5" s="1"/>
  <c r="C69" i="1"/>
  <c r="C31" i="5" s="1"/>
  <c r="C68" i="1"/>
  <c r="C30" i="5" s="1"/>
  <c r="C23" i="5"/>
  <c r="C22" i="5"/>
  <c r="G142" i="7"/>
  <c r="J140" i="7"/>
  <c r="J139" i="7"/>
  <c r="G138" i="7"/>
  <c r="B28" i="1"/>
  <c r="O142" i="7"/>
  <c r="O140" i="7"/>
  <c r="O139" i="7"/>
  <c r="H24" i="1" l="1"/>
  <c r="H33" i="1"/>
  <c r="M143" i="7"/>
  <c r="E17" i="1"/>
  <c r="G140" i="7"/>
  <c r="L142" i="7" s="1"/>
  <c r="J138" i="7"/>
  <c r="N139" i="7" s="1"/>
  <c r="I138" i="7"/>
  <c r="E28" i="1" s="1"/>
  <c r="I140" i="7"/>
  <c r="G139" i="7"/>
  <c r="D29" i="1" s="1"/>
  <c r="I139" i="7"/>
  <c r="E29" i="1" s="1"/>
  <c r="D28" i="1"/>
  <c r="I142" i="7"/>
  <c r="J142" i="7"/>
  <c r="N142" i="7" s="1"/>
  <c r="C67" i="1"/>
  <c r="C29" i="5" s="1"/>
  <c r="H112" i="7"/>
  <c r="C57" i="1"/>
  <c r="H137" i="7"/>
  <c r="G137" i="7" s="1"/>
  <c r="D24" i="1" s="1"/>
  <c r="O137" i="7"/>
  <c r="I24" i="1" l="1"/>
  <c r="M142" i="7"/>
  <c r="AA143" i="7"/>
  <c r="E82" i="1"/>
  <c r="E51" i="5" s="1"/>
  <c r="C19" i="5"/>
  <c r="B83" i="1"/>
  <c r="B51" i="5" s="1" a="1"/>
  <c r="B51" i="5" s="1"/>
  <c r="H23" i="1"/>
  <c r="I23" i="1"/>
  <c r="M139" i="7"/>
  <c r="AA139" i="7" s="1"/>
  <c r="L139" i="7"/>
  <c r="E68" i="1" s="1"/>
  <c r="D30" i="5" s="1"/>
  <c r="I137" i="7"/>
  <c r="J137" i="7"/>
  <c r="N137" i="7" s="1"/>
  <c r="L137" i="7"/>
  <c r="E57" i="1" s="1"/>
  <c r="F40" i="5"/>
  <c r="F39" i="5"/>
  <c r="G82" i="1" l="1"/>
  <c r="D19" i="5"/>
  <c r="C83" i="1"/>
  <c r="D52" i="5" s="1"/>
  <c r="E60" i="1"/>
  <c r="D22" i="5" s="1"/>
  <c r="D23" i="5"/>
  <c r="AA142" i="7"/>
  <c r="M137" i="7"/>
  <c r="E24" i="1"/>
  <c r="K82" i="1" l="1"/>
  <c r="M51" i="5" s="1"/>
  <c r="I51" i="5"/>
  <c r="AA137" i="7"/>
  <c r="E83" i="1"/>
  <c r="E52" i="5" s="1"/>
  <c r="B5" i="5"/>
  <c r="D8" i="5"/>
  <c r="H8" i="5"/>
  <c r="F8" i="5"/>
  <c r="I8" i="5"/>
  <c r="J8" i="5"/>
  <c r="K8" i="5"/>
  <c r="G83" i="1" l="1"/>
  <c r="I52" i="5" s="1"/>
  <c r="O109" i="7"/>
  <c r="K83" i="1" l="1"/>
  <c r="M52" i="5" s="1"/>
  <c r="H108" i="7"/>
  <c r="B40" i="5"/>
  <c r="I108" i="7" l="1"/>
  <c r="G108" i="7"/>
  <c r="J108" i="7"/>
  <c r="G8" i="5"/>
  <c r="E13" i="1" l="1"/>
  <c r="D13" i="1"/>
  <c r="C70" i="1"/>
  <c r="C32" i="5" s="1"/>
  <c r="C66" i="1"/>
  <c r="C28" i="5" s="1"/>
  <c r="C25" i="5"/>
  <c r="C21" i="5"/>
  <c r="C52" i="1"/>
  <c r="C14" i="5" s="1"/>
  <c r="C51" i="1"/>
  <c r="C13" i="5" s="1"/>
  <c r="C50" i="1"/>
  <c r="C12" i="5" s="1"/>
  <c r="C49" i="1"/>
  <c r="C11" i="5" s="1"/>
  <c r="C48" i="1"/>
  <c r="C10" i="5" s="1"/>
  <c r="C24" i="5"/>
  <c r="C58" i="1"/>
  <c r="C20" i="5" s="1"/>
  <c r="C55" i="1"/>
  <c r="C17" i="5" s="1"/>
  <c r="C54" i="1"/>
  <c r="C16" i="5" s="1"/>
  <c r="H135" i="7" l="1"/>
  <c r="H123" i="7"/>
  <c r="H124" i="7"/>
  <c r="H127" i="7"/>
  <c r="H128" i="7"/>
  <c r="H129" i="7"/>
  <c r="H130" i="7"/>
  <c r="H131" i="7"/>
  <c r="H132" i="7"/>
  <c r="J132" i="7" s="1"/>
  <c r="H122" i="7"/>
  <c r="H114" i="7"/>
  <c r="H115" i="7"/>
  <c r="H116" i="7"/>
  <c r="H117" i="7"/>
  <c r="H118" i="7"/>
  <c r="H119" i="7"/>
  <c r="H120" i="7"/>
  <c r="H121" i="7"/>
  <c r="H113" i="7"/>
  <c r="H110" i="7"/>
  <c r="H111" i="7"/>
  <c r="H109" i="7"/>
  <c r="B39" i="1"/>
  <c r="B38" i="1"/>
  <c r="F26" i="1"/>
  <c r="G135" i="7" l="1"/>
  <c r="D38" i="1" s="1"/>
  <c r="J135" i="7"/>
  <c r="O132" i="7"/>
  <c r="O128" i="7"/>
  <c r="O124" i="7"/>
  <c r="O121" i="7"/>
  <c r="O116" i="7"/>
  <c r="O114" i="7"/>
  <c r="J121" i="7"/>
  <c r="J122" i="7"/>
  <c r="N122" i="7" s="1"/>
  <c r="O122" i="7"/>
  <c r="J123" i="7"/>
  <c r="I123" i="7"/>
  <c r="J124" i="7"/>
  <c r="I124" i="7"/>
  <c r="J127" i="7"/>
  <c r="I127" i="7"/>
  <c r="J128" i="7"/>
  <c r="J129" i="7"/>
  <c r="N129" i="7" s="1"/>
  <c r="O129" i="7"/>
  <c r="J130" i="7"/>
  <c r="N130" i="7" s="1"/>
  <c r="I130" i="7"/>
  <c r="O130" i="7"/>
  <c r="J131" i="7"/>
  <c r="O135" i="7"/>
  <c r="N136" i="7"/>
  <c r="M136" i="7"/>
  <c r="O136" i="7"/>
  <c r="G110" i="7"/>
  <c r="D15" i="1" s="1"/>
  <c r="O110" i="7"/>
  <c r="I111" i="7"/>
  <c r="O111" i="7"/>
  <c r="I112" i="7"/>
  <c r="M144" i="7" s="1"/>
  <c r="AA144" i="7" s="1"/>
  <c r="O112" i="7"/>
  <c r="I113" i="7"/>
  <c r="I114" i="7"/>
  <c r="E23" i="1" s="1"/>
  <c r="I115" i="7"/>
  <c r="I116" i="7"/>
  <c r="E21" i="1" s="1"/>
  <c r="I117" i="7"/>
  <c r="O117" i="7"/>
  <c r="I118" i="7"/>
  <c r="O118" i="7"/>
  <c r="I119" i="7"/>
  <c r="O119" i="7"/>
  <c r="I120" i="7"/>
  <c r="G109" i="7"/>
  <c r="B107" i="7"/>
  <c r="N126" i="7" l="1"/>
  <c r="I19" i="1"/>
  <c r="M126" i="7"/>
  <c r="N128" i="7"/>
  <c r="I20" i="1"/>
  <c r="E30" i="1"/>
  <c r="E20" i="1"/>
  <c r="M116" i="7"/>
  <c r="AA116" i="7" s="1"/>
  <c r="M114" i="7"/>
  <c r="AA114" i="7" s="1"/>
  <c r="I25" i="1"/>
  <c r="E22" i="1"/>
  <c r="D14" i="1"/>
  <c r="L109" i="7"/>
  <c r="E48" i="1" s="1"/>
  <c r="D10" i="5" s="1"/>
  <c r="M112" i="7"/>
  <c r="E18" i="1"/>
  <c r="N135" i="7"/>
  <c r="M130" i="7"/>
  <c r="AA130" i="7" s="1"/>
  <c r="I28" i="1"/>
  <c r="M117" i="7"/>
  <c r="AA117" i="7" s="1"/>
  <c r="E25" i="1"/>
  <c r="M119" i="7"/>
  <c r="AA119" i="7" s="1"/>
  <c r="E27" i="1"/>
  <c r="M118" i="7"/>
  <c r="AA118" i="7" s="1"/>
  <c r="E26" i="1"/>
  <c r="M111" i="7"/>
  <c r="AA111" i="7" s="1"/>
  <c r="E16" i="1"/>
  <c r="I135" i="7"/>
  <c r="I121" i="7"/>
  <c r="M121" i="7" s="1"/>
  <c r="I132" i="7"/>
  <c r="I30" i="1" s="1"/>
  <c r="I129" i="7"/>
  <c r="I131" i="7"/>
  <c r="I128" i="7"/>
  <c r="M128" i="7" s="1"/>
  <c r="I122" i="7"/>
  <c r="D39" i="1"/>
  <c r="G132" i="7"/>
  <c r="H30" i="1" s="1"/>
  <c r="G129" i="7"/>
  <c r="H27" i="1" s="1"/>
  <c r="G127" i="7"/>
  <c r="G123" i="7"/>
  <c r="G121" i="7"/>
  <c r="D31" i="1" s="1"/>
  <c r="G131" i="7"/>
  <c r="G130" i="7"/>
  <c r="H28" i="1" s="1"/>
  <c r="G128" i="7"/>
  <c r="H26" i="1" s="1"/>
  <c r="G124" i="7"/>
  <c r="H20" i="1" s="1"/>
  <c r="G122" i="7"/>
  <c r="D32" i="1" s="1"/>
  <c r="L135" i="7"/>
  <c r="G118" i="7"/>
  <c r="D26" i="1" s="1"/>
  <c r="G111" i="7"/>
  <c r="D16" i="1" s="1"/>
  <c r="G119" i="7"/>
  <c r="D27" i="1" s="1"/>
  <c r="G116" i="7"/>
  <c r="D21" i="1" s="1"/>
  <c r="G113" i="7"/>
  <c r="G120" i="7"/>
  <c r="D30" i="1" s="1"/>
  <c r="G117" i="7"/>
  <c r="D25" i="1" s="1"/>
  <c r="G115" i="7"/>
  <c r="D20" i="1" s="1"/>
  <c r="G114" i="7"/>
  <c r="D23" i="1" s="1"/>
  <c r="G112" i="7"/>
  <c r="L144" i="7" s="1"/>
  <c r="E65" i="1" s="1"/>
  <c r="L110" i="7"/>
  <c r="E54" i="1" s="1"/>
  <c r="D16" i="5" s="1"/>
  <c r="J120" i="7"/>
  <c r="N121" i="7" s="1"/>
  <c r="J119" i="7"/>
  <c r="J118" i="7"/>
  <c r="N118" i="7" s="1"/>
  <c r="J117" i="7"/>
  <c r="N117" i="7" s="1"/>
  <c r="J116" i="7"/>
  <c r="J115" i="7"/>
  <c r="J114" i="7"/>
  <c r="J113" i="7"/>
  <c r="N134" i="7" s="1"/>
  <c r="J112" i="7"/>
  <c r="N144" i="7" s="1"/>
  <c r="J111" i="7"/>
  <c r="N111" i="7" s="1"/>
  <c r="J110" i="7"/>
  <c r="N110" i="7" s="1"/>
  <c r="I110" i="7"/>
  <c r="J109" i="7"/>
  <c r="N109" i="7" s="1"/>
  <c r="I109" i="7"/>
  <c r="M134" i="7" l="1"/>
  <c r="L134" i="7"/>
  <c r="E62" i="1" s="1"/>
  <c r="C85" i="1" s="1"/>
  <c r="AA126" i="7"/>
  <c r="D22" i="1"/>
  <c r="I210" i="7"/>
  <c r="H25" i="1"/>
  <c r="H29" i="1"/>
  <c r="L126" i="7"/>
  <c r="E59" i="1" s="1"/>
  <c r="L119" i="7"/>
  <c r="E67" i="1" s="1"/>
  <c r="D29" i="5" s="1"/>
  <c r="N116" i="7"/>
  <c r="N114" i="7"/>
  <c r="I29" i="1"/>
  <c r="L112" i="7"/>
  <c r="D27" i="5" s="1"/>
  <c r="D18" i="1"/>
  <c r="M109" i="7"/>
  <c r="AA109" i="7" s="1"/>
  <c r="D38" i="5"/>
  <c r="D72" i="1"/>
  <c r="B258" i="7"/>
  <c r="M135" i="7"/>
  <c r="L129" i="7"/>
  <c r="L111" i="7"/>
  <c r="E55" i="1" s="1"/>
  <c r="D17" i="5" s="1"/>
  <c r="L122" i="7"/>
  <c r="L118" i="7"/>
  <c r="E66" i="1" s="1"/>
  <c r="D28" i="5" s="1"/>
  <c r="L136" i="7"/>
  <c r="D39" i="5" s="1"/>
  <c r="L128" i="7"/>
  <c r="E70" i="1" s="1"/>
  <c r="D32" i="5" s="1"/>
  <c r="L121" i="7"/>
  <c r="E69" i="1" s="1"/>
  <c r="D31" i="5" s="1"/>
  <c r="L114" i="7"/>
  <c r="L130" i="7"/>
  <c r="L116" i="7"/>
  <c r="L117" i="7"/>
  <c r="E58" i="1" s="1"/>
  <c r="D20" i="5" s="1"/>
  <c r="H19" i="1"/>
  <c r="M129" i="7"/>
  <c r="AA129" i="7" s="1"/>
  <c r="I27" i="1"/>
  <c r="AA128" i="7"/>
  <c r="I26" i="1"/>
  <c r="M122" i="7"/>
  <c r="AA122" i="7" s="1"/>
  <c r="E32" i="1"/>
  <c r="AA121" i="7"/>
  <c r="E31" i="1"/>
  <c r="M110" i="7"/>
  <c r="AA110" i="7" s="1"/>
  <c r="E15" i="1"/>
  <c r="E14" i="1"/>
  <c r="N119" i="7"/>
  <c r="N112" i="7"/>
  <c r="E61" i="1" l="1"/>
  <c r="D24" i="5" s="1"/>
  <c r="AA134" i="7"/>
  <c r="AC144" i="7" s="1"/>
  <c r="N15" i="1" s="1"/>
  <c r="E85" i="1"/>
  <c r="E53" i="5"/>
  <c r="D25" i="5"/>
  <c r="D54" i="5"/>
  <c r="D21" i="5"/>
  <c r="D53" i="5"/>
  <c r="H35" i="1"/>
  <c r="K38" i="5" s="1"/>
  <c r="E51" i="1"/>
  <c r="D13" i="5" s="1"/>
  <c r="E49" i="1"/>
  <c r="D11" i="5" s="1"/>
  <c r="E52" i="1"/>
  <c r="D14" i="5" s="1"/>
  <c r="E50" i="1"/>
  <c r="D12" i="5" s="1"/>
  <c r="D73" i="1"/>
  <c r="D74" i="1"/>
  <c r="F62" i="1" s="1"/>
  <c r="F48" i="1" l="1"/>
  <c r="E10" i="5" s="1"/>
  <c r="F61" i="1"/>
  <c r="J61" i="1" s="1"/>
  <c r="G85" i="1"/>
  <c r="I54" i="5" s="1"/>
  <c r="E54" i="5"/>
  <c r="G84" i="1"/>
  <c r="I53" i="5" s="1"/>
  <c r="F60" i="1"/>
  <c r="J60" i="1" s="1"/>
  <c r="J62" i="1"/>
  <c r="F65" i="1"/>
  <c r="J65" i="1" s="1"/>
  <c r="F56" i="1"/>
  <c r="I56" i="1" s="1"/>
  <c r="G18" i="5" s="1"/>
  <c r="F59" i="1"/>
  <c r="J59" i="1" s="1"/>
  <c r="N13" i="1"/>
  <c r="F70" i="1"/>
  <c r="J70" i="1" s="1"/>
  <c r="F51" i="1"/>
  <c r="J51" i="1" s="1"/>
  <c r="F52" i="1"/>
  <c r="J52" i="1" s="1"/>
  <c r="F69" i="1"/>
  <c r="J69" i="1" s="1"/>
  <c r="F50" i="1"/>
  <c r="J50" i="1" s="1"/>
  <c r="F66" i="1"/>
  <c r="J66" i="1" s="1"/>
  <c r="F55" i="1"/>
  <c r="J55" i="1" s="1"/>
  <c r="F67" i="1"/>
  <c r="E29" i="5" s="1"/>
  <c r="F49" i="1"/>
  <c r="J49" i="1" s="1"/>
  <c r="F58" i="1"/>
  <c r="J58" i="1" s="1"/>
  <c r="F57" i="1"/>
  <c r="J57" i="1" s="1"/>
  <c r="F68" i="1"/>
  <c r="J68" i="1" s="1"/>
  <c r="F54" i="1"/>
  <c r="J54" i="1" s="1"/>
  <c r="D40" i="5"/>
  <c r="K85" i="1" l="1"/>
  <c r="M54" i="5" s="1"/>
  <c r="M53" i="5"/>
  <c r="J56" i="1"/>
  <c r="E23" i="5"/>
  <c r="H23" i="5"/>
  <c r="E22" i="5"/>
  <c r="H22" i="5"/>
  <c r="J67" i="1"/>
  <c r="H29" i="5" s="1"/>
  <c r="J48" i="1"/>
  <c r="N48" i="1" s="1"/>
  <c r="J10" i="5" s="1"/>
  <c r="E18" i="5"/>
  <c r="N66" i="1"/>
  <c r="J28" i="5" s="1"/>
  <c r="H16" i="5"/>
  <c r="N50" i="1"/>
  <c r="J12" i="5" s="1"/>
  <c r="N57" i="1"/>
  <c r="J19" i="5" s="1"/>
  <c r="H30" i="5"/>
  <c r="N70" i="1"/>
  <c r="J32" i="5" s="1"/>
  <c r="H24" i="5"/>
  <c r="N55" i="1"/>
  <c r="J17" i="5" s="1"/>
  <c r="H31" i="5"/>
  <c r="N49" i="1"/>
  <c r="J11" i="5" s="1"/>
  <c r="H20" i="5"/>
  <c r="N59" i="1"/>
  <c r="J21" i="5" s="1"/>
  <c r="N62" i="1"/>
  <c r="J25" i="5" s="1"/>
  <c r="N51" i="1"/>
  <c r="J13" i="5" s="1"/>
  <c r="H27" i="5"/>
  <c r="H14" i="5"/>
  <c r="I59" i="1"/>
  <c r="G21" i="5" s="1"/>
  <c r="E21" i="5"/>
  <c r="I51" i="1"/>
  <c r="G13" i="5" s="1"/>
  <c r="E13" i="5"/>
  <c r="I57" i="1"/>
  <c r="G19" i="5" s="1"/>
  <c r="E19" i="5"/>
  <c r="I55" i="1"/>
  <c r="G17" i="5" s="1"/>
  <c r="E17" i="5"/>
  <c r="G23" i="5"/>
  <c r="I49" i="1"/>
  <c r="G11" i="5" s="1"/>
  <c r="E11" i="5"/>
  <c r="I70" i="1"/>
  <c r="G32" i="5" s="1"/>
  <c r="E32" i="5"/>
  <c r="I69" i="1"/>
  <c r="G31" i="5" s="1"/>
  <c r="E31" i="5"/>
  <c r="I54" i="1"/>
  <c r="G16" i="5" s="1"/>
  <c r="E16" i="5"/>
  <c r="I68" i="1"/>
  <c r="G30" i="5" s="1"/>
  <c r="E30" i="5"/>
  <c r="I65" i="1"/>
  <c r="G27" i="5" s="1"/>
  <c r="E27" i="5"/>
  <c r="I50" i="1"/>
  <c r="G12" i="5" s="1"/>
  <c r="E12" i="5"/>
  <c r="I52" i="1"/>
  <c r="G14" i="5" s="1"/>
  <c r="E14" i="5"/>
  <c r="I61" i="1"/>
  <c r="G24" i="5" s="1"/>
  <c r="E24" i="5"/>
  <c r="I66" i="1"/>
  <c r="G28" i="5" s="1"/>
  <c r="E28" i="5"/>
  <c r="I62" i="1"/>
  <c r="G25" i="5" s="1"/>
  <c r="E25" i="5"/>
  <c r="I58" i="1"/>
  <c r="G20" i="5" s="1"/>
  <c r="E20" i="5"/>
  <c r="I60" i="1"/>
  <c r="G22" i="5" s="1"/>
  <c r="I67" i="1"/>
  <c r="I48" i="1"/>
  <c r="K86" i="1" l="1"/>
  <c r="M55" i="5" s="1"/>
  <c r="N54" i="1"/>
  <c r="J16" i="5" s="1"/>
  <c r="H10" i="5"/>
  <c r="H32" i="5"/>
  <c r="N52" i="1"/>
  <c r="J14" i="5" s="1"/>
  <c r="H28" i="5"/>
  <c r="G10" i="5"/>
  <c r="I71" i="1"/>
  <c r="K76" i="1" s="1"/>
  <c r="H17" i="5"/>
  <c r="N61" i="1"/>
  <c r="J24" i="5" s="1"/>
  <c r="N56" i="1"/>
  <c r="H18" i="5"/>
  <c r="N68" i="1"/>
  <c r="J30" i="5" s="1"/>
  <c r="N69" i="1"/>
  <c r="J31" i="5" s="1"/>
  <c r="H19" i="5"/>
  <c r="H12" i="5"/>
  <c r="N58" i="1"/>
  <c r="J20" i="5" s="1"/>
  <c r="N65" i="1"/>
  <c r="J27" i="5" s="1"/>
  <c r="H11" i="5"/>
  <c r="N60" i="1"/>
  <c r="J22" i="5" s="1"/>
  <c r="J23" i="5"/>
  <c r="H25" i="5"/>
  <c r="H13" i="5"/>
  <c r="H21" i="5"/>
  <c r="N67" i="1"/>
  <c r="J29" i="5" s="1"/>
  <c r="O57" i="1"/>
  <c r="K19" i="5" s="1"/>
  <c r="O59" i="1"/>
  <c r="K21" i="5" s="1"/>
  <c r="O55" i="1"/>
  <c r="K17" i="5" s="1"/>
  <c r="O49" i="1"/>
  <c r="K11" i="5" s="1"/>
  <c r="G29" i="5"/>
  <c r="O70" i="1"/>
  <c r="K32" i="5" s="1"/>
  <c r="O66" i="1"/>
  <c r="K28" i="5" s="1"/>
  <c r="O62" i="1"/>
  <c r="K25" i="5" s="1"/>
  <c r="O50" i="1"/>
  <c r="K12" i="5" s="1"/>
  <c r="O51" i="1"/>
  <c r="K13" i="5" s="1"/>
  <c r="O48" i="1"/>
  <c r="O54" i="7"/>
  <c r="G54" i="7"/>
  <c r="O53" i="7"/>
  <c r="J53" i="7"/>
  <c r="O52" i="7"/>
  <c r="J52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M90" i="1" l="1"/>
  <c r="N31" i="1" s="1"/>
  <c r="M58" i="5"/>
  <c r="O54" i="1"/>
  <c r="K16" i="5" s="1"/>
  <c r="O58" i="1"/>
  <c r="K20" i="5" s="1"/>
  <c r="O52" i="1"/>
  <c r="K14" i="5" s="1"/>
  <c r="O61" i="1"/>
  <c r="K24" i="5" s="1"/>
  <c r="N71" i="1"/>
  <c r="J33" i="5" s="1"/>
  <c r="O56" i="1"/>
  <c r="K18" i="5" s="1"/>
  <c r="J18" i="5"/>
  <c r="O68" i="1"/>
  <c r="K30" i="5" s="1"/>
  <c r="K23" i="5"/>
  <c r="O69" i="1"/>
  <c r="K31" i="5" s="1"/>
  <c r="O65" i="1"/>
  <c r="K27" i="5" s="1"/>
  <c r="O60" i="1"/>
  <c r="K22" i="5" s="1"/>
  <c r="O67" i="1"/>
  <c r="K29" i="5" s="1"/>
  <c r="K78" i="1"/>
  <c r="K77" i="1"/>
  <c r="G33" i="5"/>
  <c r="K41" i="5"/>
  <c r="K10" i="5"/>
  <c r="G53" i="7"/>
  <c r="J54" i="7"/>
  <c r="I54" i="7"/>
  <c r="I53" i="7"/>
  <c r="G52" i="7"/>
  <c r="I52" i="7"/>
  <c r="O71" i="1" l="1"/>
  <c r="M91" i="1" s="1"/>
  <c r="N33" i="1" s="1"/>
  <c r="K40" i="5"/>
  <c r="K39" i="5"/>
  <c r="M89" i="1" l="1"/>
  <c r="K33" i="5"/>
  <c r="D2" i="5"/>
  <c r="N29" i="1" l="1"/>
  <c r="M57" i="5"/>
  <c r="M92" i="1"/>
  <c r="N35" i="1" s="1"/>
  <c r="J5" i="5" s="1"/>
  <c r="M59" i="5"/>
  <c r="O79" i="7"/>
  <c r="O69" i="7"/>
  <c r="O33" i="7"/>
  <c r="O31" i="7"/>
  <c r="M60" i="5" l="1"/>
  <c r="J56" i="7"/>
  <c r="J55" i="7"/>
  <c r="O56" i="7"/>
  <c r="G56" i="7" l="1"/>
  <c r="G55" i="7"/>
  <c r="I56" i="7"/>
  <c r="N56" i="7"/>
  <c r="I55" i="7"/>
  <c r="L56" i="7" l="1"/>
  <c r="M56" i="7"/>
  <c r="O51" i="7" l="1"/>
  <c r="J33" i="7"/>
  <c r="J32" i="7"/>
  <c r="O80" i="7"/>
  <c r="N33" i="7" l="1"/>
  <c r="I48" i="7"/>
  <c r="O66" i="7"/>
  <c r="I66" i="7" l="1"/>
  <c r="G80" i="7"/>
  <c r="I80" i="7"/>
  <c r="M80" i="7" s="1"/>
  <c r="J80" i="7"/>
  <c r="J66" i="7"/>
  <c r="N66" i="7" s="1"/>
  <c r="G66" i="7"/>
  <c r="O37" i="7"/>
  <c r="J37" i="7"/>
  <c r="J36" i="7"/>
  <c r="J35" i="7"/>
  <c r="N35" i="7" s="1"/>
  <c r="G32" i="7"/>
  <c r="G33" i="7"/>
  <c r="J5" i="7" l="1"/>
  <c r="G5" i="7"/>
  <c r="L80" i="7"/>
  <c r="L33" i="7"/>
  <c r="L66" i="7"/>
  <c r="N80" i="7"/>
  <c r="M66" i="7"/>
  <c r="N37" i="7"/>
  <c r="G51" i="7"/>
  <c r="I51" i="7"/>
  <c r="M54" i="7" s="1"/>
  <c r="J51" i="7"/>
  <c r="I37" i="7"/>
  <c r="G37" i="7"/>
  <c r="I36" i="7"/>
  <c r="G36" i="7"/>
  <c r="I35" i="7"/>
  <c r="G35" i="7"/>
  <c r="I4" i="7"/>
  <c r="G4" i="7"/>
  <c r="J4" i="7"/>
  <c r="I5" i="7"/>
  <c r="N51" i="7" l="1"/>
  <c r="N54" i="7"/>
  <c r="L54" i="7"/>
  <c r="N5" i="7"/>
  <c r="L37" i="7"/>
  <c r="L35" i="7"/>
  <c r="L51" i="7"/>
  <c r="L5" i="7"/>
  <c r="M51" i="7"/>
  <c r="M35" i="7"/>
  <c r="M5" i="7"/>
  <c r="M37" i="7"/>
  <c r="H244" i="7"/>
  <c r="H245" i="7"/>
  <c r="H246" i="7"/>
  <c r="H247" i="7"/>
  <c r="H248" i="7"/>
  <c r="H249" i="7"/>
  <c r="H250" i="7"/>
  <c r="H251" i="7"/>
  <c r="H241" i="7"/>
  <c r="H242" i="7"/>
  <c r="H243" i="7"/>
  <c r="H238" i="7"/>
  <c r="H239" i="7"/>
  <c r="H240" i="7"/>
  <c r="A238" i="7" l="1"/>
  <c r="O238" i="7" s="1"/>
  <c r="A245" i="7"/>
  <c r="O245" i="7" s="1"/>
  <c r="E237" i="7"/>
  <c r="A237" i="7"/>
  <c r="A256" i="7" l="1"/>
  <c r="O256" i="7" s="1"/>
  <c r="C256" i="7"/>
  <c r="E256" i="7"/>
  <c r="A255" i="7"/>
  <c r="O255" i="7" s="1"/>
  <c r="E255" i="7"/>
  <c r="C255" i="7"/>
  <c r="A254" i="7"/>
  <c r="O254" i="7" s="1"/>
  <c r="C254" i="7"/>
  <c r="E254" i="7"/>
  <c r="A253" i="7"/>
  <c r="O253" i="7" s="1"/>
  <c r="C253" i="7"/>
  <c r="E253" i="7"/>
  <c r="C237" i="7"/>
  <c r="A252" i="7"/>
  <c r="O252" i="7" s="1"/>
  <c r="C252" i="7"/>
  <c r="E252" i="7"/>
  <c r="C245" i="7"/>
  <c r="C238" i="7"/>
  <c r="A251" i="7"/>
  <c r="O251" i="7" s="1"/>
  <c r="C251" i="7"/>
  <c r="A250" i="7"/>
  <c r="O250" i="7" s="1"/>
  <c r="C250" i="7"/>
  <c r="A249" i="7"/>
  <c r="O249" i="7" s="1"/>
  <c r="C249" i="7"/>
  <c r="A248" i="7"/>
  <c r="O248" i="7" s="1"/>
  <c r="C248" i="7"/>
  <c r="A247" i="7"/>
  <c r="O247" i="7" s="1"/>
  <c r="C247" i="7"/>
  <c r="A246" i="7"/>
  <c r="O246" i="7" s="1"/>
  <c r="C246" i="7"/>
  <c r="A244" i="7"/>
  <c r="O244" i="7" s="1"/>
  <c r="C244" i="7"/>
  <c r="A243" i="7"/>
  <c r="O243" i="7" s="1"/>
  <c r="C243" i="7"/>
  <c r="A242" i="7"/>
  <c r="O242" i="7" s="1"/>
  <c r="C242" i="7"/>
  <c r="C239" i="7"/>
  <c r="C240" i="7"/>
  <c r="A241" i="7"/>
  <c r="O241" i="7" s="1"/>
  <c r="C241" i="7"/>
  <c r="A239" i="7"/>
  <c r="O239" i="7" s="1"/>
  <c r="A240" i="7"/>
  <c r="O240" i="7" s="1"/>
  <c r="E238" i="7" l="1"/>
  <c r="E239" i="7"/>
  <c r="E244" i="7"/>
  <c r="E240" i="7"/>
  <c r="E243" i="7"/>
  <c r="E247" i="7"/>
  <c r="E245" i="7"/>
  <c r="E242" i="7"/>
  <c r="E250" i="7"/>
  <c r="E248" i="7"/>
  <c r="E251" i="7"/>
  <c r="E246" i="7"/>
  <c r="E241" i="7"/>
  <c r="E249" i="7"/>
  <c r="G251" i="7"/>
  <c r="J251" i="7"/>
  <c r="N251" i="7" s="1"/>
  <c r="G250" i="7"/>
  <c r="J250" i="7"/>
  <c r="N250" i="7" s="1"/>
  <c r="J247" i="7"/>
  <c r="N247" i="7" s="1"/>
  <c r="G247" i="7"/>
  <c r="L247" i="7" s="1"/>
  <c r="G238" i="7"/>
  <c r="J238" i="7"/>
  <c r="N238" i="7" s="1"/>
  <c r="G239" i="7"/>
  <c r="L239" i="7" s="1"/>
  <c r="J239" i="7"/>
  <c r="N239" i="7" s="1"/>
  <c r="I253" i="7"/>
  <c r="M253" i="7" s="1"/>
  <c r="J253" i="7"/>
  <c r="N253" i="7" s="1"/>
  <c r="G253" i="7"/>
  <c r="L253" i="7" s="1"/>
  <c r="J244" i="7"/>
  <c r="N244" i="7" s="1"/>
  <c r="G244" i="7"/>
  <c r="L244" i="7" s="1"/>
  <c r="J248" i="7"/>
  <c r="N248" i="7" s="1"/>
  <c r="G248" i="7"/>
  <c r="L248" i="7" s="1"/>
  <c r="G246" i="7"/>
  <c r="L246" i="7" s="1"/>
  <c r="J246" i="7"/>
  <c r="N246" i="7" s="1"/>
  <c r="J249" i="7"/>
  <c r="N249" i="7" s="1"/>
  <c r="G249" i="7"/>
  <c r="J240" i="7"/>
  <c r="N240" i="7" s="1"/>
  <c r="G240" i="7"/>
  <c r="L240" i="7" s="1"/>
  <c r="G245" i="7"/>
  <c r="J245" i="7"/>
  <c r="N245" i="7" s="1"/>
  <c r="J241" i="7"/>
  <c r="N241" i="7" s="1"/>
  <c r="G241" i="7"/>
  <c r="L241" i="7" s="1"/>
  <c r="G252" i="7"/>
  <c r="L252" i="7" s="1"/>
  <c r="J252" i="7"/>
  <c r="N252" i="7" s="1"/>
  <c r="I252" i="7"/>
  <c r="M252" i="7" s="1"/>
  <c r="G254" i="7"/>
  <c r="L254" i="7" s="1"/>
  <c r="J254" i="7"/>
  <c r="N254" i="7" s="1"/>
  <c r="I254" i="7"/>
  <c r="M254" i="7" s="1"/>
  <c r="J243" i="7"/>
  <c r="N243" i="7" s="1"/>
  <c r="G243" i="7"/>
  <c r="L243" i="7" s="1"/>
  <c r="I255" i="7"/>
  <c r="M255" i="7" s="1"/>
  <c r="G255" i="7"/>
  <c r="L255" i="7" s="1"/>
  <c r="J255" i="7"/>
  <c r="N255" i="7" s="1"/>
  <c r="I256" i="7"/>
  <c r="M256" i="7" s="1"/>
  <c r="G256" i="7"/>
  <c r="L256" i="7" s="1"/>
  <c r="J256" i="7"/>
  <c r="N256" i="7" s="1"/>
  <c r="G242" i="7"/>
  <c r="L242" i="7" s="1"/>
  <c r="J242" i="7"/>
  <c r="N242" i="7" s="1"/>
  <c r="I238" i="7" l="1"/>
  <c r="M238" i="7" s="1"/>
  <c r="I239" i="7"/>
  <c r="M239" i="7" s="1"/>
  <c r="I250" i="7"/>
  <c r="M250" i="7" s="1"/>
  <c r="I249" i="7"/>
  <c r="M249" i="7" s="1"/>
  <c r="I248" i="7"/>
  <c r="M248" i="7" s="1"/>
  <c r="I247" i="7"/>
  <c r="M247" i="7" s="1"/>
  <c r="I245" i="7"/>
  <c r="M245" i="7" s="1"/>
  <c r="I251" i="7"/>
  <c r="I241" i="7"/>
  <c r="M241" i="7" s="1"/>
  <c r="I243" i="7"/>
  <c r="M243" i="7" s="1"/>
  <c r="I244" i="7"/>
  <c r="M244" i="7" s="1"/>
  <c r="I246" i="7"/>
  <c r="M246" i="7" s="1"/>
  <c r="I242" i="7"/>
  <c r="M242" i="7" s="1"/>
  <c r="I240" i="7"/>
  <c r="M240" i="7" s="1"/>
  <c r="L245" i="7"/>
  <c r="L249" i="7"/>
  <c r="L250" i="7"/>
  <c r="L238" i="7"/>
  <c r="L251" i="7"/>
  <c r="H237" i="7"/>
  <c r="O237" i="7"/>
  <c r="M251" i="7" l="1"/>
  <c r="G237" i="7"/>
  <c r="J237" i="7"/>
  <c r="N237" i="7" s="1"/>
  <c r="I237" i="7"/>
  <c r="G48" i="7"/>
  <c r="L237" i="7" l="1"/>
  <c r="M237" i="7"/>
  <c r="J93" i="7" l="1"/>
  <c r="N93" i="7" s="1"/>
  <c r="I92" i="7"/>
  <c r="M92" i="7" s="1"/>
  <c r="O93" i="7"/>
  <c r="O92" i="7"/>
  <c r="G93" i="7" l="1"/>
  <c r="I93" i="7"/>
  <c r="M93" i="7" s="1"/>
  <c r="G92" i="7"/>
  <c r="J92" i="7"/>
  <c r="N92" i="7" s="1"/>
  <c r="L92" i="7" l="1"/>
  <c r="L93" i="7"/>
  <c r="L48" i="7"/>
  <c r="L29" i="7"/>
  <c r="L11" i="7"/>
  <c r="L7" i="7"/>
  <c r="L6" i="7"/>
  <c r="J48" i="7"/>
  <c r="N48" i="7" s="1"/>
  <c r="J29" i="7"/>
  <c r="N29" i="7" s="1"/>
  <c r="I11" i="7"/>
  <c r="J7" i="7"/>
  <c r="N7" i="7" s="1"/>
  <c r="O5" i="7"/>
  <c r="M11" i="7" l="1"/>
  <c r="J11" i="7"/>
  <c r="N11" i="7" s="1"/>
  <c r="I29" i="7"/>
  <c r="M29" i="7" s="1"/>
  <c r="I7" i="7"/>
  <c r="M48" i="7" l="1"/>
  <c r="M7" i="7"/>
  <c r="G79" i="7"/>
  <c r="O50" i="7"/>
  <c r="G50" i="7" l="1"/>
  <c r="J79" i="7"/>
  <c r="I79" i="7"/>
  <c r="J50" i="7"/>
  <c r="I50" i="7"/>
  <c r="G94" i="7" l="1"/>
  <c r="L94" i="7" s="1"/>
  <c r="J100" i="7"/>
  <c r="N100" i="7" s="1"/>
  <c r="G103" i="7"/>
  <c r="L103" i="7" s="1"/>
  <c r="G102" i="7"/>
  <c r="L102" i="7" s="1"/>
  <c r="J96" i="7"/>
  <c r="N96" i="7" s="1"/>
  <c r="G95" i="7"/>
  <c r="J101" i="7"/>
  <c r="C231" i="7" s="1"/>
  <c r="J99" i="7"/>
  <c r="N99" i="7" s="1"/>
  <c r="J106" i="7"/>
  <c r="N106" i="7" s="1"/>
  <c r="J98" i="7"/>
  <c r="N98" i="7" s="1"/>
  <c r="J105" i="7"/>
  <c r="N105" i="7" s="1"/>
  <c r="J97" i="7"/>
  <c r="N97" i="7" s="1"/>
  <c r="J104" i="7"/>
  <c r="N104" i="7" s="1"/>
  <c r="I106" i="7"/>
  <c r="M106" i="7" s="1"/>
  <c r="I105" i="7"/>
  <c r="M105" i="7" s="1"/>
  <c r="I104" i="7"/>
  <c r="M104" i="7" s="1"/>
  <c r="I99" i="7"/>
  <c r="M99" i="7" s="1"/>
  <c r="I98" i="7"/>
  <c r="M98" i="7" s="1"/>
  <c r="J102" i="7"/>
  <c r="N102" i="7" s="1"/>
  <c r="G99" i="7"/>
  <c r="I101" i="7"/>
  <c r="M101" i="7" s="1"/>
  <c r="J103" i="7"/>
  <c r="N103" i="7" s="1"/>
  <c r="J95" i="7"/>
  <c r="N95" i="7" s="1"/>
  <c r="G101" i="7"/>
  <c r="I100" i="7"/>
  <c r="M100" i="7" s="1"/>
  <c r="J94" i="7"/>
  <c r="N94" i="7" s="1"/>
  <c r="G100" i="7"/>
  <c r="I103" i="7"/>
  <c r="M103" i="7" s="1"/>
  <c r="G106" i="7"/>
  <c r="G98" i="7"/>
  <c r="I97" i="7"/>
  <c r="M97" i="7" s="1"/>
  <c r="I102" i="7"/>
  <c r="M102" i="7" s="1"/>
  <c r="G105" i="7"/>
  <c r="L105" i="7" s="1"/>
  <c r="G97" i="7"/>
  <c r="I96" i="7"/>
  <c r="M96" i="7" s="1"/>
  <c r="G104" i="7"/>
  <c r="L104" i="7" s="1"/>
  <c r="G96" i="7"/>
  <c r="I95" i="7"/>
  <c r="M95" i="7" s="1"/>
  <c r="I94" i="7"/>
  <c r="M94" i="7" s="1"/>
  <c r="G83" i="7"/>
  <c r="L95" i="7" l="1"/>
  <c r="N101" i="7"/>
  <c r="L101" i="7"/>
  <c r="C230" i="7"/>
  <c r="L96" i="7"/>
  <c r="L98" i="7"/>
  <c r="L99" i="7"/>
  <c r="L100" i="7"/>
  <c r="C232" i="7"/>
  <c r="L106" i="7"/>
  <c r="C233" i="7"/>
  <c r="L97" i="7"/>
  <c r="C229" i="7"/>
  <c r="C228" i="7"/>
  <c r="B233" i="7"/>
  <c r="J58" i="7"/>
  <c r="J59" i="7"/>
  <c r="J90" i="7"/>
  <c r="J91" i="7"/>
  <c r="J89" i="7"/>
  <c r="J88" i="7"/>
  <c r="J87" i="7"/>
  <c r="J86" i="7"/>
  <c r="J85" i="7"/>
  <c r="J84" i="7"/>
  <c r="B229" i="7" l="1"/>
  <c r="B230" i="7"/>
  <c r="B231" i="7"/>
  <c r="B232" i="7"/>
  <c r="B228" i="7"/>
  <c r="J31" i="7" l="1"/>
  <c r="J27" i="7"/>
  <c r="G3" i="7"/>
  <c r="A3" i="7"/>
  <c r="H3" i="7" s="1"/>
  <c r="I58" i="7" l="1"/>
  <c r="I59" i="7"/>
  <c r="I31" i="7"/>
  <c r="I27" i="7"/>
  <c r="G59" i="7"/>
  <c r="G58" i="7"/>
  <c r="G31" i="7"/>
  <c r="G27" i="7"/>
  <c r="L59" i="7" l="1"/>
  <c r="J78" i="7" l="1"/>
  <c r="N79" i="7" s="1"/>
  <c r="G78" i="7"/>
  <c r="L79" i="7" s="1"/>
  <c r="I78" i="7"/>
  <c r="M79" i="7" s="1"/>
  <c r="J57" i="7"/>
  <c r="G57" i="7" l="1"/>
  <c r="I57" i="7"/>
  <c r="L58" i="7" l="1"/>
  <c r="J83" i="7" l="1"/>
  <c r="J81" i="7"/>
  <c r="G82" i="7" l="1"/>
  <c r="J82" i="7"/>
  <c r="J23" i="7"/>
  <c r="J22" i="7"/>
  <c r="J21" i="7"/>
  <c r="I23" i="7" l="1"/>
  <c r="G23" i="7"/>
  <c r="G21" i="7"/>
  <c r="I21" i="7"/>
  <c r="I22" i="7"/>
  <c r="G22" i="7"/>
  <c r="J74" i="7" l="1"/>
  <c r="O74" i="7"/>
  <c r="G74" i="7" l="1"/>
  <c r="I74" i="7"/>
  <c r="I33" i="7" l="1"/>
  <c r="O83" i="7" l="1"/>
  <c r="O82" i="7"/>
  <c r="O81" i="7"/>
  <c r="O77" i="7"/>
  <c r="O72" i="7"/>
  <c r="O68" i="7"/>
  <c r="O65" i="7"/>
  <c r="O62" i="7"/>
  <c r="O61" i="7"/>
  <c r="O48" i="7"/>
  <c r="O47" i="7"/>
  <c r="O46" i="7"/>
  <c r="O42" i="7"/>
  <c r="O39" i="7"/>
  <c r="O26" i="7"/>
  <c r="O19" i="7"/>
  <c r="O16" i="7"/>
  <c r="O15" i="7"/>
  <c r="O14" i="7"/>
  <c r="O13" i="7"/>
  <c r="O11" i="7"/>
  <c r="O23" i="7"/>
  <c r="O88" i="7" l="1"/>
  <c r="O89" i="7"/>
  <c r="O90" i="7"/>
  <c r="O91" i="7"/>
  <c r="O87" i="7"/>
  <c r="O85" i="7"/>
  <c r="I89" i="7" l="1"/>
  <c r="G89" i="7"/>
  <c r="G87" i="7"/>
  <c r="I87" i="7"/>
  <c r="I91" i="7"/>
  <c r="G91" i="7"/>
  <c r="G86" i="7"/>
  <c r="I86" i="7"/>
  <c r="G88" i="7"/>
  <c r="I88" i="7"/>
  <c r="G85" i="7"/>
  <c r="I85" i="7"/>
  <c r="L87" i="7" l="1"/>
  <c r="L86" i="7"/>
  <c r="Q87" i="7"/>
  <c r="L85" i="7"/>
  <c r="N91" i="7"/>
  <c r="N87" i="7"/>
  <c r="N85" i="7"/>
  <c r="N89" i="7"/>
  <c r="N88" i="7"/>
  <c r="L88" i="7"/>
  <c r="L91" i="7"/>
  <c r="L89" i="7"/>
  <c r="M91" i="7"/>
  <c r="M88" i="7"/>
  <c r="M89" i="7"/>
  <c r="N86" i="7" l="1"/>
  <c r="R87" i="7"/>
  <c r="M87" i="7"/>
  <c r="O75" i="7" l="1"/>
  <c r="O60" i="7"/>
  <c r="O59" i="7"/>
  <c r="O58" i="7"/>
  <c r="O28" i="7"/>
  <c r="O24" i="7"/>
  <c r="O7" i="7"/>
  <c r="O6" i="7"/>
  <c r="M59" i="7" l="1"/>
  <c r="N59" i="7"/>
  <c r="J77" i="7"/>
  <c r="J76" i="7"/>
  <c r="J75" i="7"/>
  <c r="J71" i="7"/>
  <c r="J72" i="7"/>
  <c r="J73" i="7"/>
  <c r="J70" i="7"/>
  <c r="J62" i="7"/>
  <c r="J61" i="7"/>
  <c r="J63" i="7"/>
  <c r="J65" i="7"/>
  <c r="J68" i="7"/>
  <c r="J69" i="7"/>
  <c r="N69" i="7" s="1"/>
  <c r="J60" i="7"/>
  <c r="J25" i="7"/>
  <c r="J26" i="7"/>
  <c r="J28" i="7"/>
  <c r="J14" i="7"/>
  <c r="J24" i="7" l="1"/>
  <c r="N24" i="7" s="1"/>
  <c r="J64" i="7"/>
  <c r="J49" i="7"/>
  <c r="N50" i="7" s="1"/>
  <c r="J67" i="7"/>
  <c r="G24" i="7"/>
  <c r="I24" i="7"/>
  <c r="I49" i="7"/>
  <c r="M50" i="7" s="1"/>
  <c r="G49" i="7"/>
  <c r="L50" i="7" s="1"/>
  <c r="G68" i="7"/>
  <c r="I68" i="7"/>
  <c r="I65" i="7"/>
  <c r="G65" i="7"/>
  <c r="G72" i="7"/>
  <c r="I72" i="7"/>
  <c r="G75" i="7"/>
  <c r="I75" i="7"/>
  <c r="I77" i="7"/>
  <c r="G77" i="7"/>
  <c r="G71" i="7"/>
  <c r="I71" i="7"/>
  <c r="I64" i="7"/>
  <c r="G64" i="7"/>
  <c r="I63" i="7"/>
  <c r="G63" i="7"/>
  <c r="G26" i="7"/>
  <c r="L26" i="7" s="1"/>
  <c r="I26" i="7"/>
  <c r="G62" i="7"/>
  <c r="I62" i="7"/>
  <c r="G73" i="7"/>
  <c r="I73" i="7"/>
  <c r="G67" i="7"/>
  <c r="I67" i="7"/>
  <c r="I14" i="7"/>
  <c r="G14" i="7"/>
  <c r="L14" i="7" s="1"/>
  <c r="I76" i="7"/>
  <c r="G76" i="7"/>
  <c r="I28" i="7"/>
  <c r="G28" i="7"/>
  <c r="L28" i="7" s="1"/>
  <c r="I61" i="7"/>
  <c r="G61" i="7"/>
  <c r="G60" i="7"/>
  <c r="I60" i="7"/>
  <c r="G25" i="7"/>
  <c r="I25" i="7"/>
  <c r="G69" i="7"/>
  <c r="I69" i="7"/>
  <c r="G70" i="7"/>
  <c r="I70" i="7"/>
  <c r="L24" i="7" l="1"/>
  <c r="M24" i="7"/>
  <c r="L69" i="7"/>
  <c r="M69" i="7"/>
  <c r="L68" i="7"/>
  <c r="L74" i="7"/>
  <c r="L77" i="7"/>
  <c r="L62" i="7"/>
  <c r="N62" i="7"/>
  <c r="L72" i="7"/>
  <c r="L75" i="7"/>
  <c r="L60" i="7"/>
  <c r="L65" i="7"/>
  <c r="L61" i="7"/>
  <c r="N60" i="7"/>
  <c r="N58" i="7"/>
  <c r="N28" i="7"/>
  <c r="N14" i="7"/>
  <c r="N75" i="7"/>
  <c r="M75" i="7"/>
  <c r="M62" i="7" l="1"/>
  <c r="M58" i="7"/>
  <c r="M14" i="7"/>
  <c r="M28" i="7"/>
  <c r="M60" i="7"/>
  <c r="B222" i="7" s="1"/>
  <c r="I83" i="7" l="1"/>
  <c r="I82" i="7"/>
  <c r="I81" i="7"/>
  <c r="G81" i="7"/>
  <c r="L81" i="7" l="1"/>
  <c r="L83" i="7"/>
  <c r="L82" i="7"/>
  <c r="B219" i="7"/>
  <c r="J45" i="7"/>
  <c r="J46" i="7"/>
  <c r="J47" i="7"/>
  <c r="J43" i="7"/>
  <c r="J44" i="7"/>
  <c r="J40" i="7"/>
  <c r="J41" i="7"/>
  <c r="J42" i="7"/>
  <c r="J38" i="7"/>
  <c r="J39" i="7"/>
  <c r="J34" i="7"/>
  <c r="J19" i="7"/>
  <c r="J18" i="7"/>
  <c r="J17" i="7"/>
  <c r="J16" i="7"/>
  <c r="J15" i="7"/>
  <c r="J13" i="7"/>
  <c r="J12" i="7"/>
  <c r="J9" i="7"/>
  <c r="J10" i="7"/>
  <c r="J8" i="7"/>
  <c r="J30" i="7" l="1"/>
  <c r="N31" i="7" s="1"/>
  <c r="N10" i="7"/>
  <c r="J20" i="7"/>
  <c r="N23" i="7" s="1"/>
  <c r="N19" i="7"/>
  <c r="G44" i="7"/>
  <c r="I44" i="7"/>
  <c r="G43" i="7"/>
  <c r="I43" i="7"/>
  <c r="I15" i="7"/>
  <c r="G15" i="7"/>
  <c r="L15" i="7" s="1"/>
  <c r="G16" i="7"/>
  <c r="L16" i="7" s="1"/>
  <c r="I16" i="7"/>
  <c r="I46" i="7"/>
  <c r="G46" i="7"/>
  <c r="I12" i="7"/>
  <c r="G12" i="7"/>
  <c r="G30" i="7"/>
  <c r="I30" i="7"/>
  <c r="M31" i="7" s="1"/>
  <c r="G47" i="7"/>
  <c r="I47" i="7"/>
  <c r="G17" i="7"/>
  <c r="I17" i="7"/>
  <c r="I38" i="7"/>
  <c r="G38" i="7"/>
  <c r="I45" i="7"/>
  <c r="G45" i="7"/>
  <c r="G13" i="7"/>
  <c r="I13" i="7"/>
  <c r="I18" i="7"/>
  <c r="G18" i="7"/>
  <c r="I42" i="7"/>
  <c r="G42" i="7"/>
  <c r="G39" i="7"/>
  <c r="I39" i="7"/>
  <c r="I20" i="7"/>
  <c r="M23" i="7" s="1"/>
  <c r="G20" i="7"/>
  <c r="L23" i="7" s="1"/>
  <c r="I34" i="7"/>
  <c r="G34" i="7"/>
  <c r="L34" i="7" s="1"/>
  <c r="G8" i="7"/>
  <c r="I8" i="7"/>
  <c r="I10" i="7"/>
  <c r="G10" i="7"/>
  <c r="I9" i="7"/>
  <c r="G9" i="7"/>
  <c r="I41" i="7"/>
  <c r="G41" i="7"/>
  <c r="I19" i="7"/>
  <c r="G19" i="7"/>
  <c r="G40" i="7"/>
  <c r="I40" i="7"/>
  <c r="N74" i="7"/>
  <c r="M74" i="7"/>
  <c r="L10" i="7" l="1"/>
  <c r="L19" i="7"/>
  <c r="L31" i="7"/>
  <c r="L42" i="7"/>
  <c r="M10" i="7"/>
  <c r="N47" i="7"/>
  <c r="L47" i="7"/>
  <c r="L39" i="7"/>
  <c r="L13" i="7"/>
  <c r="M13" i="7"/>
  <c r="M19" i="7"/>
  <c r="L46" i="7"/>
  <c r="N15" i="7"/>
  <c r="N34" i="7"/>
  <c r="N16" i="7"/>
  <c r="N82" i="7"/>
  <c r="N26" i="7"/>
  <c r="M83" i="7"/>
  <c r="N68" i="7"/>
  <c r="N81" i="7"/>
  <c r="N61" i="7"/>
  <c r="N83" i="7"/>
  <c r="M81" i="7"/>
  <c r="M82" i="7"/>
  <c r="M61" i="7"/>
  <c r="Q208" i="7" l="1"/>
  <c r="I6" i="7"/>
  <c r="J6" i="7"/>
  <c r="N6" i="7" s="1"/>
  <c r="M47" i="7"/>
  <c r="M15" i="7"/>
  <c r="N65" i="7"/>
  <c r="M26" i="7"/>
  <c r="N39" i="7"/>
  <c r="M42" i="7"/>
  <c r="M34" i="7"/>
  <c r="M16" i="7"/>
  <c r="M65" i="7"/>
  <c r="M72" i="7"/>
  <c r="N42" i="7"/>
  <c r="N72" i="7"/>
  <c r="M39" i="7"/>
  <c r="N77" i="7"/>
  <c r="M68" i="7"/>
  <c r="M77" i="7"/>
  <c r="R208" i="7" l="1"/>
  <c r="M6" i="7"/>
  <c r="B215" i="7" l="1"/>
  <c r="B217" i="7"/>
  <c r="N13" i="7" l="1"/>
  <c r="M46" i="7"/>
  <c r="N46" i="7"/>
  <c r="S209" i="7" l="1"/>
  <c r="S210" i="7" l="1"/>
  <c r="B223" i="7" s="1"/>
  <c r="B214" i="7" l="1"/>
  <c r="B216" i="7" l="1"/>
  <c r="B221" i="7" s="1"/>
  <c r="I84" i="7" l="1"/>
  <c r="G84" i="7"/>
  <c r="M85" i="7" l="1"/>
  <c r="R85" i="7"/>
  <c r="L84" i="7"/>
  <c r="Q85" i="7"/>
  <c r="N84" i="7"/>
  <c r="I90" i="7"/>
  <c r="M90" i="7" s="1"/>
  <c r="G90" i="7"/>
  <c r="N90" i="7" l="1"/>
  <c r="L90" i="7"/>
  <c r="R33" i="7" l="1"/>
  <c r="I32" i="7"/>
  <c r="M33" i="7" s="1"/>
  <c r="Q33" i="7" l="1"/>
  <c r="B218" i="7" l="1"/>
  <c r="B220" i="7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<sst xmlns="http://schemas.openxmlformats.org/spreadsheetml/2006/main" count="1366" uniqueCount="438">
  <si>
    <t>Eastern Canada Field Crops- for Estimate Purposes Only</t>
  </si>
  <si>
    <t>Version 25.10P</t>
  </si>
  <si>
    <t>(Enter the date)</t>
  </si>
  <si>
    <t xml:space="preserve">2025 BayerValue™ </t>
  </si>
  <si>
    <t>Rebate Calculator</t>
  </si>
  <si>
    <r>
      <t>BayerValue</t>
    </r>
    <r>
      <rPr>
        <sz val="11"/>
        <color theme="1"/>
        <rFont val="Calibri"/>
        <family val="2"/>
      </rPr>
      <t>™</t>
    </r>
    <r>
      <rPr>
        <sz val="9.9"/>
        <color theme="1"/>
        <rFont val="Calibri"/>
        <family val="2"/>
      </rPr>
      <t xml:space="preserve"> East Rewards Program - Enter Purchases</t>
    </r>
  </si>
  <si>
    <t>Farm Name:</t>
  </si>
  <si>
    <t>Date of Calculation:</t>
  </si>
  <si>
    <r>
      <t>BayerValue</t>
    </r>
    <r>
      <rPr>
        <sz val="11"/>
        <color theme="1"/>
        <rFont val="Calibri"/>
        <family val="2"/>
      </rPr>
      <t>™</t>
    </r>
    <r>
      <rPr>
        <sz val="9.9"/>
        <color theme="1"/>
        <rFont val="Calibri"/>
        <family val="2"/>
      </rPr>
      <t xml:space="preserve"> East Rewards</t>
    </r>
  </si>
  <si>
    <t>Active FieldView™ subscription?</t>
  </si>
  <si>
    <t>Product</t>
  </si>
  <si>
    <t>Enter</t>
  </si>
  <si>
    <t>Acres</t>
  </si>
  <si>
    <t>Units</t>
  </si>
  <si>
    <t>SRP Value</t>
  </si>
  <si>
    <t>2024 BayerValue™</t>
  </si>
  <si>
    <t>Scroll Down for more products -----&gt;&gt;&gt;&gt;</t>
  </si>
  <si>
    <t>Total BayerValue™ Rebate</t>
  </si>
  <si>
    <t>Number of Brands of $1000 and greater</t>
  </si>
  <si>
    <t>has FieldView subscription Yes</t>
  </si>
  <si>
    <t>Price of subscription</t>
  </si>
  <si>
    <t>has FieldView subscription No</t>
  </si>
  <si>
    <t>Total SRP Value of Crop Protection Purchases</t>
  </si>
  <si>
    <t>Enter Crop Traits</t>
  </si>
  <si>
    <t>END OF INPUTS</t>
  </si>
  <si>
    <t>*To qualify, more than 100 acres of Seed Traits and a minimum of $1000 for each brand is required</t>
  </si>
  <si>
    <t>** To qualify, more than $5000 in total crop protection and two brands of $1000 or more in purchases, is required</t>
  </si>
  <si>
    <t>Segment</t>
  </si>
  <si>
    <t>Total Crop Protection Brand Acres</t>
  </si>
  <si>
    <t>Matching Trait Acres*</t>
  </si>
  <si>
    <t>$/Acre on Matched Acres</t>
  </si>
  <si>
    <t>Rebate on Matched Trait Acres</t>
  </si>
  <si>
    <t>Unmatched Acres**</t>
  </si>
  <si>
    <t>$/Acre on Unmatched Acres</t>
  </si>
  <si>
    <t>Rebate on Unmatched Acres</t>
  </si>
  <si>
    <t>Total Reward</t>
  </si>
  <si>
    <t>Cereal Herbicides</t>
  </si>
  <si>
    <t>Corn and Soybean Herbicides</t>
  </si>
  <si>
    <t>Fungicides</t>
  </si>
  <si>
    <t>Trait Matched Acres Rebate Total</t>
  </si>
  <si>
    <t>Unmatched Acres Rebate Total</t>
  </si>
  <si>
    <t>Corn Trait Acres</t>
  </si>
  <si>
    <t>Soybean Trait Acres</t>
  </si>
  <si>
    <t>Total Trait Acres</t>
  </si>
  <si>
    <t>Total Matched Acres Rebate per Trait Acre Equivalent</t>
  </si>
  <si>
    <t>Total Matched Acres Rebate per Corn Bag Equivalent</t>
  </si>
  <si>
    <t>Total Matched Acres Rebate per Soybean Bag Equivalent</t>
  </si>
  <si>
    <t>Roundup® Key Product Focus</t>
  </si>
  <si>
    <t>Brand Acres</t>
  </si>
  <si>
    <t>Brand Acres where Purchases are $1000 or greater</t>
  </si>
  <si>
    <t>Brand Acres of Roundup Transorb and Roundup WeatherMax</t>
  </si>
  <si>
    <t>Number of acres matching Roundup Transorb and/or Roundup WeatherMax acres</t>
  </si>
  <si>
    <t>Rebate</t>
  </si>
  <si>
    <t>Trait Matched Acres and Unmatched Acres Rebate</t>
  </si>
  <si>
    <r>
      <rPr>
        <b/>
        <sz val="17"/>
        <color rgb="FF002060"/>
        <rFont val="Calibri"/>
        <family val="2"/>
      </rPr>
      <t>FieldView™</t>
    </r>
    <r>
      <rPr>
        <b/>
        <sz val="17"/>
        <color rgb="FF002060"/>
        <rFont val="Calibri"/>
        <family val="2"/>
        <scheme val="minor"/>
      </rPr>
      <t xml:space="preserve"> Rewards Rebate</t>
    </r>
  </si>
  <si>
    <t>Date:</t>
  </si>
  <si>
    <t>Total Corn Trait Acres</t>
  </si>
  <si>
    <t>Total Soybean Trait Acres</t>
  </si>
  <si>
    <t>BrandName</t>
  </si>
  <si>
    <t>Package Name</t>
  </si>
  <si>
    <t>Acres/Package</t>
  </si>
  <si>
    <t>Is BaseUnit?</t>
  </si>
  <si>
    <t>SRP</t>
  </si>
  <si>
    <t>Conversion Factor</t>
  </si>
  <si>
    <t>Acres or Units ? (calculate/switches)</t>
  </si>
  <si>
    <t>Data Entry - Acres OR Units?  (switches)</t>
  </si>
  <si>
    <t>Product Value</t>
  </si>
  <si>
    <t>Product Base Unit Equivalent (calculate)</t>
  </si>
  <si>
    <t>Brand</t>
  </si>
  <si>
    <t>Brand Acre</t>
  </si>
  <si>
    <t>Brand Value</t>
  </si>
  <si>
    <t>Brand Base Unit</t>
  </si>
  <si>
    <t>Date of</t>
  </si>
  <si>
    <t>Matching Acres Stress Shield</t>
  </si>
  <si>
    <t>LeftOver Acres Stress Shield</t>
  </si>
  <si>
    <t xml:space="preserve">Product is </t>
  </si>
  <si>
    <t>Questions/Comments?</t>
  </si>
  <si>
    <t>Region</t>
  </si>
  <si>
    <t>Other Comments/Observations</t>
  </si>
  <si>
    <t>Product Type</t>
  </si>
  <si>
    <t>Package Size</t>
  </si>
  <si>
    <t>Package Size Definition</t>
  </si>
  <si>
    <t>SRP &gt;= $1000</t>
  </si>
  <si>
    <t>Chosen Acres or Units entry?</t>
  </si>
  <si>
    <t>Yes/No</t>
  </si>
  <si>
    <t>2024/25</t>
  </si>
  <si>
    <t>to Base Units</t>
  </si>
  <si>
    <t>@SRP</t>
  </si>
  <si>
    <t xml:space="preserve">Row </t>
  </si>
  <si>
    <t>Equivalents</t>
  </si>
  <si>
    <t>Equivalents @SRP</t>
  </si>
  <si>
    <t>Name</t>
  </si>
  <si>
    <t>Update on SRP</t>
  </si>
  <si>
    <t>with Raxil Pro</t>
  </si>
  <si>
    <t>with TrilexEverGol</t>
  </si>
  <si>
    <t>Obsolete?</t>
  </si>
  <si>
    <t>ALIAS NAME</t>
  </si>
  <si>
    <t>yes = 1, no = 0</t>
  </si>
  <si>
    <t>(calculate)</t>
  </si>
  <si>
    <t>Num</t>
  </si>
  <si>
    <t>ADMIRE</t>
  </si>
  <si>
    <t>ADMIRE 240 FLOWABLE ( 1 L)</t>
  </si>
  <si>
    <t>N</t>
  </si>
  <si>
    <t>Not active for this app - 2023</t>
  </si>
  <si>
    <t>West</t>
  </si>
  <si>
    <t>Insecticide</t>
  </si>
  <si>
    <t>1 L</t>
  </si>
  <si>
    <t>ADMIRE 240 FLOWABLE (3.785 L)</t>
  </si>
  <si>
    <t>Y</t>
  </si>
  <si>
    <t>3.785 L</t>
  </si>
  <si>
    <t>ALIETTE</t>
  </si>
  <si>
    <t>ALIETTE WDG (2.268 KG)</t>
  </si>
  <si>
    <t>Herbicide</t>
  </si>
  <si>
    <t>2.26 KG</t>
  </si>
  <si>
    <t>BETAMIX B</t>
  </si>
  <si>
    <t>BETAMIX B (10 L)</t>
  </si>
  <si>
    <t>10 L</t>
  </si>
  <si>
    <t>BUCTRIL M</t>
  </si>
  <si>
    <t>BUCTRIL M (8 L)</t>
  </si>
  <si>
    <t xml:space="preserve"> </t>
  </si>
  <si>
    <t>8 L</t>
  </si>
  <si>
    <t>BUCTRIL M (128 L)</t>
  </si>
  <si>
    <t>128 L</t>
  </si>
  <si>
    <t>BUCTRIL M (400 L)</t>
  </si>
  <si>
    <t>400 L</t>
  </si>
  <si>
    <t>CONCEPT</t>
  </si>
  <si>
    <t>CONCEPT (5.26 L)</t>
  </si>
  <si>
    <t>5.26 L</t>
  </si>
  <si>
    <t>DELARO</t>
  </si>
  <si>
    <t>DELARO (7.1 L)</t>
  </si>
  <si>
    <t>Fungicide</t>
  </si>
  <si>
    <t>7.1 L</t>
  </si>
  <si>
    <t>DELARO (113.6 L)</t>
  </si>
  <si>
    <t>113.6 L</t>
  </si>
  <si>
    <t>EMESTO SILVER</t>
  </si>
  <si>
    <t>EMESTO SILVER (3.85 L)</t>
  </si>
  <si>
    <t>Seed Treatment</t>
  </si>
  <si>
    <t>3.85 L</t>
  </si>
  <si>
    <t>EVERGOL ENERGY</t>
  </si>
  <si>
    <t>EVERGOL ENERGY (33.75 L)</t>
  </si>
  <si>
    <t>33.75 L</t>
  </si>
  <si>
    <t>FOLICUR EW</t>
  </si>
  <si>
    <t>FOLICUR EW (8.1 L)</t>
  </si>
  <si>
    <t>8.1 L</t>
  </si>
  <si>
    <t>INFINITY</t>
  </si>
  <si>
    <t>INFINITY (6.7 L)</t>
  </si>
  <si>
    <t>6.7 L</t>
  </si>
  <si>
    <t>INFINITY (107.2 L)</t>
  </si>
  <si>
    <t>107.2 L</t>
  </si>
  <si>
    <t>INFINITY (335 L)</t>
  </si>
  <si>
    <t>335 L</t>
  </si>
  <si>
    <t>INFINITY FX</t>
  </si>
  <si>
    <t>INFINITY FX (13.4L + 6.48L)</t>
  </si>
  <si>
    <t xml:space="preserve"> (13.4L + 6.48L)</t>
  </si>
  <si>
    <t>INFINITY FX COFORM (8.1 L)</t>
  </si>
  <si>
    <t>JUG</t>
  </si>
  <si>
    <t>INFINITY FX COFORM (405 L)</t>
  </si>
  <si>
    <t>405 L</t>
  </si>
  <si>
    <t>TOTE</t>
  </si>
  <si>
    <t>INFINITY FX COFORM (129.6 L)</t>
  </si>
  <si>
    <t>129.6 L</t>
  </si>
  <si>
    <t>DRUM</t>
  </si>
  <si>
    <t>LUNA TRANQUILITY</t>
  </si>
  <si>
    <t>LUNA TRANQUILITY (2 L)</t>
  </si>
  <si>
    <t>2 L</t>
  </si>
  <si>
    <t>LUNA TRANQUILITY (4.86 L)</t>
  </si>
  <si>
    <t>4.86 L</t>
  </si>
  <si>
    <t>LUXXUR</t>
  </si>
  <si>
    <t>LUXXUR (8L + 243g)</t>
  </si>
  <si>
    <t xml:space="preserve"> (8L + 243g)</t>
  </si>
  <si>
    <t>MOVENTO</t>
  </si>
  <si>
    <t>MOVENTO (1 L)</t>
  </si>
  <si>
    <t>Yes</t>
  </si>
  <si>
    <t>MOVENTO (2 L)</t>
  </si>
  <si>
    <t>NORTRON</t>
  </si>
  <si>
    <t>NORTRON SC (10 L)</t>
  </si>
  <si>
    <t>OLYMPUS</t>
  </si>
  <si>
    <t>OLYMPUS (463G)</t>
  </si>
  <si>
    <t>463 G</t>
  </si>
  <si>
    <t>OLYMPUS SG70 (463G JUG)</t>
  </si>
  <si>
    <t>PARDNER</t>
  </si>
  <si>
    <t>PARDNER (8 L)</t>
  </si>
  <si>
    <t>PARDNER (128 L)</t>
  </si>
  <si>
    <t>PROLINE</t>
  </si>
  <si>
    <t>PROLINE (5.1 L)</t>
  </si>
  <si>
    <t>5.1 L</t>
  </si>
  <si>
    <t>PROLINE GOLD</t>
  </si>
  <si>
    <t>PROSARO 115</t>
  </si>
  <si>
    <t>PROSARO 115 (6.5 L)</t>
  </si>
  <si>
    <t>6.5 L</t>
  </si>
  <si>
    <t>PROSARO 115 (104 L)</t>
  </si>
  <si>
    <t>104 L</t>
  </si>
  <si>
    <t>PROSARO XTR</t>
  </si>
  <si>
    <t>PROSARO XTR (6.5 L)</t>
  </si>
  <si>
    <t>PROSARO XTR (104 L)</t>
  </si>
  <si>
    <t>PUMA ADVANCE</t>
  </si>
  <si>
    <t>PUMA ADVANCE (8.25 L)</t>
  </si>
  <si>
    <t>8.25 L</t>
  </si>
  <si>
    <t>PUMA ADVANCE (123.75 L)</t>
  </si>
  <si>
    <t>123.75 L</t>
  </si>
  <si>
    <t>PUMA ADVANCE (412.5 L)</t>
  </si>
  <si>
    <t>412.5 L</t>
  </si>
  <si>
    <t>RAXIL PRO</t>
  </si>
  <si>
    <t>RAXIL PRO (10 L)</t>
  </si>
  <si>
    <t>RAXIL PRO (58.5 L)</t>
  </si>
  <si>
    <t>58.5 L</t>
  </si>
  <si>
    <t>RAXIL PRO (175.5 L)</t>
  </si>
  <si>
    <t>175.5 L</t>
  </si>
  <si>
    <t>RAXIL PRO (1000 L)</t>
  </si>
  <si>
    <t>1000 L</t>
  </si>
  <si>
    <t>RAXIL PRO SHIELD</t>
  </si>
  <si>
    <t>RAXIL PRO SHIELD (10L + 1.54L)</t>
  </si>
  <si>
    <t>(10L + 1.54L)</t>
  </si>
  <si>
    <t>REASON</t>
  </si>
  <si>
    <t>REASON (2 L)</t>
  </si>
  <si>
    <t>ROUNDUP XTEND</t>
  </si>
  <si>
    <t>ROUNDUP XTEND (10 L)</t>
  </si>
  <si>
    <t>ROUNDUP XTEND (405 L)</t>
  </si>
  <si>
    <t>ROUNDUP WEATHERMAX</t>
  </si>
  <si>
    <t>ROUNDUP WEATHERMAX (10 L)</t>
  </si>
  <si>
    <t>ROUNDUP WEATHERMAX (115 L)</t>
  </si>
  <si>
    <t>115 L</t>
  </si>
  <si>
    <t>ROUNDUP WEATHERMAX (450 L)</t>
  </si>
  <si>
    <t>450 L</t>
  </si>
  <si>
    <t>ROUNDUP WEATHERMAX (800 L)</t>
  </si>
  <si>
    <t>800 L</t>
  </si>
  <si>
    <t>SERENADE SOIL</t>
  </si>
  <si>
    <t>SERENADE SOIL AL (511 L)</t>
  </si>
  <si>
    <t>511 L</t>
  </si>
  <si>
    <t>SERENADE SOIL AL (9.46 L)</t>
  </si>
  <si>
    <t>9.46 L</t>
  </si>
  <si>
    <t>SCALA</t>
  </si>
  <si>
    <t>SCALA (2 L)</t>
  </si>
  <si>
    <t>SCALA (6.07 L)</t>
  </si>
  <si>
    <t>6.07 L</t>
  </si>
  <si>
    <t>SENCOR</t>
  </si>
  <si>
    <t>SENCOR (2.5 KG)</t>
  </si>
  <si>
    <t>2.5 KG</t>
  </si>
  <si>
    <t>SENCOR 75 DF</t>
  </si>
  <si>
    <t>SENCOR 75 DF (2.5 KG)</t>
  </si>
  <si>
    <t>STRESS SHIELD</t>
  </si>
  <si>
    <t>STRESS SHIELD 600 (27 L)</t>
  </si>
  <si>
    <t>27 L</t>
  </si>
  <si>
    <t>SIVANTO PRIME</t>
  </si>
  <si>
    <t>SIVANTO PRIME SL200 (2 L)</t>
  </si>
  <si>
    <t>THUMPER</t>
  </si>
  <si>
    <t>THUMPER (8 L)</t>
  </si>
  <si>
    <t>THUMPER (128 L)</t>
  </si>
  <si>
    <t>THUMPER (400 L)</t>
  </si>
  <si>
    <t>TILMOR</t>
  </si>
  <si>
    <t>TILMOR (10.12 L)</t>
  </si>
  <si>
    <t>10.12 L</t>
  </si>
  <si>
    <t>TRILEX EVERGOL</t>
  </si>
  <si>
    <t>TRILEX EVERGOL (1.5L+0.96L)</t>
  </si>
  <si>
    <t>(1.5L+0.96L)</t>
  </si>
  <si>
    <t>TRILEX EVERGOL (6.49L + 4.15L)</t>
  </si>
  <si>
    <t>(6.49L + 4.15L)</t>
  </si>
  <si>
    <t>TRILEX EVERGOL SHIELD</t>
  </si>
  <si>
    <t>TRILEX EVERGOL SHIELD (1.5L+0.96L+6.25L)</t>
  </si>
  <si>
    <t>(1.5L+0.96L+6.25L)</t>
  </si>
  <si>
    <t>TUNDRA</t>
  </si>
  <si>
    <t>TUNDRA (8.1 L)</t>
  </si>
  <si>
    <t>TUNDRA (129.6 L)</t>
  </si>
  <si>
    <t>TUNDRA (405 L)</t>
  </si>
  <si>
    <t>VARRO</t>
  </si>
  <si>
    <t>VARRO (8 L)</t>
  </si>
  <si>
    <t>VARRO (128 L)</t>
  </si>
  <si>
    <t>VELUM PRIME</t>
  </si>
  <si>
    <t>VELUM PRIME (4.04 L)</t>
  </si>
  <si>
    <t>4.04 L</t>
  </si>
  <si>
    <t>VELOCITY</t>
  </si>
  <si>
    <t>VELOCITY M3 (8.1 L)</t>
  </si>
  <si>
    <t>VELOCITY M3 (129.6 L)</t>
  </si>
  <si>
    <t>XTENDIMAX</t>
  </si>
  <si>
    <t>XTENDIMAX (10 L)</t>
  </si>
  <si>
    <t>XTENDIMAX (405 L)</t>
  </si>
  <si>
    <t>VAYEGO</t>
  </si>
  <si>
    <t>VAYEGO ( 3 L)</t>
  </si>
  <si>
    <t>3 L</t>
  </si>
  <si>
    <t>Canola Trait</t>
  </si>
  <si>
    <t>Canola Trait (22.7 KG bag)</t>
  </si>
  <si>
    <t>ACTIVE 2023</t>
  </si>
  <si>
    <t>East</t>
  </si>
  <si>
    <t>Crop Trait</t>
  </si>
  <si>
    <t>22.7 KG</t>
  </si>
  <si>
    <t>Corn Trait</t>
  </si>
  <si>
    <t>Corn Trait (1 X Unit 80,000 seeds)</t>
  </si>
  <si>
    <t>1 X Unit ( 140,000 seeds)</t>
  </si>
  <si>
    <t>Soybean Trait</t>
  </si>
  <si>
    <t>Soybean Trait (1 X Unit 140,000 seeds)</t>
  </si>
  <si>
    <t>1 X Unit ( 80,000 seeds)</t>
  </si>
  <si>
    <t>BlackHawk</t>
  </si>
  <si>
    <t>BlackHawk (2x9 L Case)</t>
  </si>
  <si>
    <t>Only totals for a few products - temporary fix</t>
  </si>
  <si>
    <t>Not active for this app - 2022</t>
  </si>
  <si>
    <t>BlackHawk Drum (95.8 L)</t>
  </si>
  <si>
    <t>GoldWing</t>
  </si>
  <si>
    <t>GoldWing (2 x 10.7 L Case)</t>
  </si>
  <si>
    <t>GoldWing Drum (85.5 L)</t>
  </si>
  <si>
    <t>Valtera</t>
  </si>
  <si>
    <t>Valtera (2 x 4.54 KG Case)</t>
  </si>
  <si>
    <t>Conquer</t>
  </si>
  <si>
    <t>Conquer (2x9.71 L+2x600 ML Case)</t>
  </si>
  <si>
    <t>Fierce</t>
  </si>
  <si>
    <t>Fierce (4 x 2.72 KG Case)</t>
  </si>
  <si>
    <t>Davai</t>
  </si>
  <si>
    <t>Davai 80 SL (2x8 L Case)</t>
  </si>
  <si>
    <t xml:space="preserve">Command </t>
  </si>
  <si>
    <t>Command Charge (Case)</t>
  </si>
  <si>
    <t>Command</t>
  </si>
  <si>
    <t>Command 360 ME (Jug)</t>
  </si>
  <si>
    <t>Old section used for traits in 2020</t>
  </si>
  <si>
    <t>Obsolete</t>
  </si>
  <si>
    <t>Spare</t>
  </si>
  <si>
    <t xml:space="preserve">BUCTRIL M </t>
  </si>
  <si>
    <t>BUCTRIL® M (8 L)</t>
  </si>
  <si>
    <t>ACTIVE 2025</t>
  </si>
  <si>
    <t>EAST/Field Crops</t>
  </si>
  <si>
    <t>BUCTRIL® M (400 L)</t>
  </si>
  <si>
    <t>CONVERGE FLEXX</t>
  </si>
  <si>
    <t>CONVERGE® FLEXX (2.64 L)</t>
  </si>
  <si>
    <t>ACTIVE 2024</t>
  </si>
  <si>
    <t>2.64 L</t>
  </si>
  <si>
    <t>CONVERGE XT</t>
  </si>
  <si>
    <t>CONVERGE® XT (2.64 L + 13.3 L)</t>
  </si>
  <si>
    <t>13.3L + 2.64L</t>
  </si>
  <si>
    <t>CASE</t>
  </si>
  <si>
    <t>DELARO COMPLETE</t>
  </si>
  <si>
    <t>DELARO®  COMPLETE (7.11 L)</t>
  </si>
  <si>
    <t>2 X 7.11 L</t>
  </si>
  <si>
    <t>INFINITY® FX (8.1 L)</t>
  </si>
  <si>
    <t>INFINITY® FX (405 L)</t>
  </si>
  <si>
    <t>INFINITY® (6.7 L)</t>
  </si>
  <si>
    <t>INFINITY® (335 L)</t>
  </si>
  <si>
    <t>OPTION LIQUID</t>
  </si>
  <si>
    <t>OPTION® LIQUID (6.3 L)</t>
  </si>
  <si>
    <t>6.3 L</t>
  </si>
  <si>
    <t>PROLINE® (5.1 L)</t>
  </si>
  <si>
    <t>PROPULSE</t>
  </si>
  <si>
    <t>PROPULSE® (6.1 L)</t>
  </si>
  <si>
    <t>6.1 L</t>
  </si>
  <si>
    <t xml:space="preserve">PROSARO® XTR (6.5 L) </t>
  </si>
  <si>
    <t>PROSARO® XTR (104 L)</t>
  </si>
  <si>
    <t>PUMA® ADVANCE (8.25 L)</t>
  </si>
  <si>
    <t>ROUNDUP XTEND® WITH VAPORGRIP® TECHNOLOGY (10 L)</t>
  </si>
  <si>
    <t>ROUNDUP XTEND® WITH VAPORGRIP® TECHNOLOGY (450 L)</t>
  </si>
  <si>
    <t>ROUNDUP XTEND 2</t>
  </si>
  <si>
    <t>ROUNDUP XTEND® 2 WITH VAPORGRIP® TECHNOLOGY (10 L)</t>
  </si>
  <si>
    <t>ROUNDUP XTEND® 2 WITH VAPORGRIP®TECHNOLOGY (450 L)</t>
  </si>
  <si>
    <t>STRATEGO PRO</t>
  </si>
  <si>
    <t>STRATEGO® PRO (7.1 L)</t>
  </si>
  <si>
    <t>STRATEGO® PRO (113.6 L)</t>
  </si>
  <si>
    <t>VARRO® (8 L)</t>
  </si>
  <si>
    <t>VIOS G3</t>
  </si>
  <si>
    <t>VIOS® G3 (1.78 L)</t>
  </si>
  <si>
    <t>1.78 L</t>
  </si>
  <si>
    <t>XTENDIMAX® WITH VAPORGRIP® TECHNOLOGY (10 L)</t>
  </si>
  <si>
    <t>XTENDIMAX® WITH VAPORGRIP® TECHNOLOGY (450 L)</t>
  </si>
  <si>
    <t>XTENDIMAX 2</t>
  </si>
  <si>
    <t>XTENDIMAX® 2 WITH VAPORGRIP® TECHNOLOGY (10 L)</t>
  </si>
  <si>
    <t>XTENDIMAX® 2 WITH VAPORGRIP® TECHNOLOGY (450 L)</t>
  </si>
  <si>
    <t>Corn Trait (80,000 kernels)</t>
  </si>
  <si>
    <t>BAG</t>
  </si>
  <si>
    <t>Soybean Trait (140,000 seeds)</t>
  </si>
  <si>
    <t>LAUDIS</t>
  </si>
  <si>
    <t>LAUDIS® (3.6 L)</t>
  </si>
  <si>
    <t>3.6 L</t>
  </si>
  <si>
    <t>PROSARO PRO</t>
  </si>
  <si>
    <t>PROSARO® PRO (6.07 L)</t>
  </si>
  <si>
    <t>PROSARO® PRO (97.17 L)</t>
  </si>
  <si>
    <t>97.17 L</t>
  </si>
  <si>
    <t xml:space="preserve">SENCOR 480 </t>
  </si>
  <si>
    <t>SENCOR® 480 (5 L)</t>
  </si>
  <si>
    <t>SENCOR® 480 (1000 L)</t>
  </si>
  <si>
    <t>NOT IN 2024 BV</t>
  </si>
  <si>
    <t>Tote</t>
  </si>
  <si>
    <t>SENCOR® 75DF (2.5 KG)</t>
  </si>
  <si>
    <t>CORVUS</t>
  </si>
  <si>
    <t>CORVUS® (4 L)</t>
  </si>
  <si>
    <t>4 L</t>
  </si>
  <si>
    <t>DELARO®  COMPLETE (113.8 L)</t>
  </si>
  <si>
    <t>113.8 L</t>
  </si>
  <si>
    <t>Total Count &gt;= $1000</t>
  </si>
  <si>
    <t>XTENDIMAX® 2 WITH VAPORGRIP® TECHNOLOGY (122.38 L)</t>
  </si>
  <si>
    <t>122.38 L</t>
  </si>
  <si>
    <t>ROUNDUP TRANSORB</t>
  </si>
  <si>
    <t>ROUNDUP TRANSORB® HC (10 L)</t>
  </si>
  <si>
    <t>ROUNDUP TRANSORB® HC (115 L)</t>
  </si>
  <si>
    <t>SHUTTLE</t>
  </si>
  <si>
    <t>ROUNDUP TRANSORB® HC (450 L)</t>
  </si>
  <si>
    <t>ROUNDUP TRANSORB® HC (800 L)</t>
  </si>
  <si>
    <t>ROUNDUP WEATHERMAX® (10 L)</t>
  </si>
  <si>
    <t>ROUNDUP WEATHERMAX® (115 L)</t>
  </si>
  <si>
    <t>ROUNDUP WEATHERMAX® (450 L)</t>
  </si>
  <si>
    <t>ROUNDUP WEATHERMAX® (800 L)</t>
  </si>
  <si>
    <t>Source SRP and filename:</t>
  </si>
  <si>
    <t>SRP Filename :</t>
  </si>
  <si>
    <t>2025  Bayer CP Eastern Price List_Distribution TSM VERSION FINAL.pdf</t>
  </si>
  <si>
    <t>Received:</t>
  </si>
  <si>
    <t>Stress Shield + Raxil Pro</t>
  </si>
  <si>
    <t>xx</t>
  </si>
  <si>
    <t>Stress Shield + Trilex EverGol</t>
  </si>
  <si>
    <t>Totals</t>
  </si>
  <si>
    <t>Total Stress Shield acres matched</t>
  </si>
  <si>
    <t>2020 SRP's as per Price List from Anna Reider on Sept 6, 2019 and re-sent after Bayer updates on Sept 10, 2019.</t>
  </si>
  <si>
    <t>Obsolete section, used in 2019 only.</t>
  </si>
  <si>
    <t>Base Unit Equivalents</t>
  </si>
  <si>
    <t>Special Consideration - Hort AND Row Crop Products "the Additional Payment Products"</t>
  </si>
  <si>
    <t>Admire</t>
  </si>
  <si>
    <t>Aliette</t>
  </si>
  <si>
    <t>BetamixB</t>
  </si>
  <si>
    <t>Concept</t>
  </si>
  <si>
    <t>Nortron</t>
  </si>
  <si>
    <t>Reason</t>
  </si>
  <si>
    <t>Serenade Soil</t>
  </si>
  <si>
    <t>sub-total</t>
  </si>
  <si>
    <t>Deduct from payment dollars for the 1 % Volume Bonus because these products have values below $1500 each.</t>
  </si>
  <si>
    <t>Sencor DF</t>
  </si>
  <si>
    <t>Deduct Sencor value from qualifing dollars contribution FOR THE 1 % threshold contribution for the Volume Bonus because Emesto Silver acres are less than 300.</t>
  </si>
  <si>
    <t>Stress Shield</t>
  </si>
  <si>
    <t>Amount of Stress Shield to deduct from overall Crop Protection purchases for that part that does not match with Raxil Pro and/or Trilex EverGol, for 1 % payment and/or SS is less than $1500.00 in value.</t>
  </si>
  <si>
    <t>OptionAcres</t>
  </si>
  <si>
    <t>OptionUnits</t>
  </si>
  <si>
    <t>Total  Canola Trait Acres</t>
  </si>
  <si>
    <t>Total  DEKALB Canola Trait Acres</t>
  </si>
  <si>
    <t>Total  Corn Trait Acres</t>
  </si>
  <si>
    <t>Total  DEKALB Corn Trait Acres</t>
  </si>
  <si>
    <t>Total  Soybean Trait Acres</t>
  </si>
  <si>
    <t>Total  DEKALB Soybean Trait Acres</t>
  </si>
  <si>
    <t>Seed Trait, Seed and Seed Treatment Purchases, Current for 2020</t>
  </si>
  <si>
    <t>Crop - Hybrid - Seed Treatment Chosen dfrom Drop-Down</t>
  </si>
  <si>
    <t>Reserved formula</t>
  </si>
  <si>
    <t>=IF(Pkge!$L$132&gt;=  100, IF($E68 &gt;= 100, IF(Pkge!$L$132 &gt;= $E68, $E68, Pkge!$L$132),0),0)</t>
  </si>
  <si>
    <t>SRP COLOR CODE</t>
  </si>
  <si>
    <t>2024/25 srp'S ON CURRENT YEAR PROGRAM from 2025 Bayer SRP Price list, Oct 2, 2024</t>
  </si>
  <si>
    <t>2024/25 srp'S ON CURRENT YEAR PROGRAM from 2024 BV East Calculator</t>
  </si>
  <si>
    <t>As of Oct 23, 2024 TEAMS message from Tiffany Gogowich</t>
  </si>
  <si>
    <t>As of Oct 30, 2024 TEAMS message from Tiffany Gogowich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</si>
</sst>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09]mmmm\ d\,\ yyyy;@"/>
    <numFmt numFmtId="165" formatCode="0_ ;\-0\ "/>
    <numFmt numFmtId="166" formatCode="#,##0.0"/>
    <numFmt numFmtId="167" formatCode="#,##0.000"/>
    <numFmt numFmtId="168" formatCode="0.0000"/>
    <numFmt numFmtId="169" formatCode="_(* #,##0.0_);_(* \(#,##0.0\);_(* &quot;-&quot;??_);_(@_)"/>
    <numFmt numFmtId="170" formatCode="&quot;$&quot;#,##0.00"/>
    <numFmt numFmtId="171" formatCode="#,##0.0_ ;\-#,##0.0\ "/>
    <numFmt numFmtId="172" formatCode="0.0"/>
    <numFmt numFmtId="173" formatCode="#,##0.00_ ;\-#,##0.00\ "/>
    <numFmt numFmtId="174" formatCode="[&lt;=9999999]###\-####;###\-###\-####"/>
  </numFmts>
  <fonts count="9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rgb="FF01135F"/>
      <name val="Calibri"/>
      <family val="2"/>
      <scheme val="minor"/>
    </font>
    <font>
      <b/>
      <sz val="10"/>
      <color rgb="FF01135F"/>
      <name val="Calibri"/>
      <family val="2"/>
      <scheme val="minor"/>
    </font>
    <font>
      <sz val="10"/>
      <color rgb="FF01135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6"/>
      <color rgb="FF002060"/>
      <name val="Calibri"/>
      <family val="2"/>
      <scheme val="minor"/>
    </font>
    <font>
      <b/>
      <sz val="11"/>
      <color theme="1"/>
      <name val="Arial"/>
      <family val="2"/>
    </font>
    <font>
      <b/>
      <i/>
      <sz val="12"/>
      <color rgb="FF00B05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FFFF00"/>
      <name val="Calibri"/>
      <family val="2"/>
      <scheme val="minor"/>
    </font>
    <font>
      <b/>
      <sz val="9"/>
      <color theme="0"/>
      <name val="Arial"/>
      <family val="2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sz val="10"/>
      <color theme="1"/>
      <name val="Arial"/>
      <family val="2"/>
    </font>
    <font>
      <sz val="11"/>
      <color rgb="FF003CFE"/>
      <name val="Calibri"/>
      <family val="2"/>
      <scheme val="minor"/>
    </font>
    <font>
      <sz val="11"/>
      <color rgb="FF0070C0"/>
      <name val="Arial"/>
      <family val="2"/>
    </font>
    <font>
      <b/>
      <i/>
      <sz val="12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70C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1135F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sz val="14"/>
      <color rgb="FF01135F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1"/>
      <color rgb="FF00359E"/>
      <name val="Calibri"/>
      <family val="2"/>
      <scheme val="minor"/>
    </font>
    <font>
      <b/>
      <sz val="12"/>
      <color rgb="FF00009A"/>
      <name val="Calibri"/>
      <family val="2"/>
      <scheme val="minor"/>
    </font>
    <font>
      <b/>
      <sz val="11"/>
      <color rgb="FF00009A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1"/>
      <color theme="1"/>
      <name val="Calibri"/>
      <family val="2"/>
    </font>
    <font>
      <sz val="9.9"/>
      <color theme="1"/>
      <name val="Calibri"/>
      <family val="2"/>
    </font>
    <font>
      <b/>
      <sz val="20"/>
      <color rgb="FF00206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0070C0"/>
      <name val="Arial"/>
      <family val="2"/>
    </font>
    <font>
      <b/>
      <sz val="10"/>
      <color rgb="FFFF0000"/>
      <name val="Calibri"/>
      <family val="2"/>
      <scheme val="minor"/>
    </font>
    <font>
      <sz val="14"/>
      <color rgb="FF002060"/>
      <name val="Calibri"/>
      <family val="2"/>
      <scheme val="minor"/>
    </font>
    <font>
      <sz val="18"/>
      <color rgb="FF00206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002060"/>
      <name val="Tahoma"/>
      <family val="2"/>
    </font>
    <font>
      <b/>
      <sz val="24"/>
      <color rgb="FF002060"/>
      <name val="Calibri"/>
      <family val="2"/>
      <scheme val="minor"/>
    </font>
    <font>
      <b/>
      <sz val="15"/>
      <color rgb="FF00206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26"/>
      <color rgb="FF00206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3"/>
      <color rgb="FF00206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7"/>
      <color rgb="FF002060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17"/>
      <color rgb="FF002060"/>
      <name val="Calibri"/>
      <family val="2"/>
    </font>
    <font>
      <b/>
      <sz val="20"/>
      <color rgb="FF0070C0"/>
      <name val="Calibri"/>
      <family val="2"/>
      <scheme val="minor"/>
    </font>
    <font>
      <sz val="12"/>
      <color rgb="FFFFFF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70C0"/>
      <name val="Aptos"/>
      <family val="2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1919FF"/>
        <bgColor indexed="64"/>
      </patternFill>
    </fill>
    <fill>
      <patternFill patternType="solid">
        <fgColor rgb="FFFFFFFF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0" tint="-5.0965910824915313E-2"/>
        </stop>
      </gradientFill>
    </fill>
    <fill>
      <patternFill patternType="solid">
        <fgColor rgb="FFAFAF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3F3F3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8" tint="0.80001220740379042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rgb="FFF7F7F7"/>
        <bgColor indexed="64"/>
      </patternFill>
    </fill>
    <fill>
      <gradientFill degree="90">
        <stop position="0">
          <color theme="0" tint="-0.1490218817712943"/>
        </stop>
        <stop position="1">
          <color theme="8" tint="0.80001220740379042"/>
        </stop>
      </gradientFill>
    </fill>
    <fill>
      <gradientFill type="path">
        <stop position="0">
          <color theme="0" tint="-0.1490218817712943"/>
        </stop>
        <stop position="1">
          <color rgb="FF227202"/>
        </stop>
      </gradientFill>
    </fill>
    <fill>
      <patternFill patternType="solid">
        <fgColor rgb="FF001554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3" tint="0.80001220740379042"/>
        </stop>
      </gradientFill>
    </fill>
    <fill>
      <gradientFill type="path">
        <stop position="0">
          <color theme="0" tint="-0.1490218817712943"/>
        </stop>
        <stop position="1">
          <color theme="8" tint="-0.25098422193060094"/>
        </stop>
      </gradientFill>
    </fill>
    <fill>
      <patternFill patternType="solid">
        <fgColor rgb="FFEDF7F9"/>
        <bgColor indexed="64"/>
      </patternFill>
    </fill>
    <fill>
      <patternFill patternType="solid">
        <fgColor theme="8" tint="-0.24994659260841701"/>
        <bgColor auto="1"/>
      </patternFill>
    </fill>
    <fill>
      <patternFill patternType="solid">
        <fgColor rgb="FF31869B"/>
        <bgColor auto="1"/>
      </patternFill>
    </fill>
    <fill>
      <gradientFill type="path">
        <stop position="0">
          <color theme="0" tint="-5.0965910824915313E-2"/>
        </stop>
        <stop position="1">
          <color theme="8" tint="-0.25098422193060094"/>
        </stop>
      </gradientFill>
    </fill>
    <fill>
      <gradientFill type="path">
        <stop position="0">
          <color theme="0" tint="-0.25098422193060094"/>
        </stop>
        <stop position="1">
          <color theme="8" tint="-0.25098422193060094"/>
        </stop>
      </gradientFill>
    </fill>
    <fill>
      <gradientFill type="path" left="0.5" right="0.5" top="0.5" bottom="0.5">
        <stop position="0">
          <color theme="0" tint="-0.25098422193060094"/>
        </stop>
        <stop position="1">
          <color theme="8" tint="-0.25098422193060094"/>
        </stop>
      </gradientFill>
    </fill>
    <fill>
      <gradientFill degree="90">
        <stop position="0">
          <color theme="0" tint="-0.25098422193060094"/>
        </stop>
        <stop position="1">
          <color theme="8" tint="-0.25098422193060094"/>
        </stop>
      </gradientFill>
    </fill>
    <fill>
      <patternFill patternType="solid">
        <fgColor rgb="FFFFFF99"/>
        <bgColor indexed="64"/>
      </patternFill>
    </fill>
    <fill>
      <gradientFill type="path">
        <stop position="0">
          <color theme="0" tint="-0.1490218817712943"/>
        </stop>
        <stop position="1">
          <color rgb="FF007E39"/>
        </stop>
      </gradientFill>
    </fill>
    <fill>
      <patternFill patternType="solid">
        <fgColor rgb="FF007E39"/>
        <bgColor indexed="64"/>
      </patternFill>
    </fill>
    <fill>
      <patternFill patternType="solid">
        <fgColor theme="0"/>
        <bgColor auto="1"/>
      </patternFill>
    </fill>
    <fill>
      <gradientFill type="path">
        <stop position="0">
          <color theme="0" tint="-0.1490218817712943"/>
        </stop>
        <stop position="1">
          <color rgb="FF318499"/>
        </stop>
      </gradientFill>
    </fill>
    <fill>
      <patternFill patternType="solid">
        <fgColor rgb="FF31869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</fills>
  <borders count="198">
    <border>
      <left/>
      <right/>
      <top/>
      <bottom/>
      <diagonal/>
    </border>
    <border>
      <left/>
      <right style="medium">
        <color rgb="FF1CA422"/>
      </right>
      <top/>
      <bottom/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/>
      <top/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 style="medium">
        <color rgb="FF1CA422"/>
      </right>
      <top/>
      <bottom style="medium">
        <color rgb="FF1CA422"/>
      </bottom>
      <diagonal/>
    </border>
    <border>
      <left style="medium">
        <color rgb="FF1CA422"/>
      </left>
      <right/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/>
      <top/>
      <bottom/>
      <diagonal/>
    </border>
    <border>
      <left style="medium">
        <color rgb="FF1CA422"/>
      </left>
      <right/>
      <top style="medium">
        <color rgb="FF1CA422"/>
      </top>
      <bottom/>
      <diagonal/>
    </border>
    <border>
      <left/>
      <right/>
      <top style="medium">
        <color rgb="FF1CA422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/>
      <bottom/>
      <diagonal/>
    </border>
    <border>
      <left style="thick">
        <color rgb="FF1CA422"/>
      </left>
      <right style="thick">
        <color rgb="FF1CA422"/>
      </right>
      <top style="thick">
        <color rgb="FF1CA422"/>
      </top>
      <bottom style="thick">
        <color rgb="FF1CA4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rgb="FF1CA422"/>
      </right>
      <top style="thick">
        <color rgb="FF1CA422"/>
      </top>
      <bottom style="thick">
        <color rgb="FF1CA422"/>
      </bottom>
      <diagonal/>
    </border>
    <border>
      <left/>
      <right style="thick">
        <color rgb="FF1CA422"/>
      </right>
      <top/>
      <bottom style="thick">
        <color rgb="FF1CA4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1CA422"/>
      </left>
      <right style="thick">
        <color rgb="FF1CA422"/>
      </right>
      <top/>
      <bottom style="thick">
        <color rgb="FF1CA422"/>
      </bottom>
      <diagonal/>
    </border>
    <border>
      <left style="medium">
        <color rgb="FF1CA422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/>
      <top style="medium">
        <color rgb="FF1CA422"/>
      </top>
      <bottom/>
      <diagonal/>
    </border>
    <border>
      <left style="medium">
        <color rgb="FF1CA422"/>
      </left>
      <right style="medium">
        <color indexed="64"/>
      </right>
      <top/>
      <bottom/>
      <diagonal/>
    </border>
    <border>
      <left style="thick">
        <color rgb="FF1CA422"/>
      </left>
      <right style="thick">
        <color rgb="FF1CA422"/>
      </right>
      <top style="thick">
        <color rgb="FF1CA422"/>
      </top>
      <bottom/>
      <diagonal/>
    </border>
    <border>
      <left style="thick">
        <color rgb="FF1CA422"/>
      </left>
      <right/>
      <top style="thick">
        <color rgb="FF1CA422"/>
      </top>
      <bottom style="thick">
        <color rgb="FF1CA4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1CA422"/>
      </left>
      <right/>
      <top/>
      <bottom style="thick">
        <color rgb="FF1CA422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medium">
        <color rgb="FF1CA422"/>
      </bottom>
      <diagonal/>
    </border>
    <border>
      <left style="thin">
        <color rgb="FF1CA422"/>
      </left>
      <right style="thin">
        <color rgb="FF1CA422"/>
      </right>
      <top/>
      <bottom style="thin">
        <color rgb="FF1CA422"/>
      </bottom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thin">
        <color rgb="FF1CA422"/>
      </bottom>
      <diagonal/>
    </border>
    <border>
      <left style="medium">
        <color rgb="FF1CA422"/>
      </left>
      <right style="medium">
        <color rgb="FF1CA422"/>
      </right>
      <top/>
      <bottom style="thin">
        <color rgb="FF1CA422"/>
      </bottom>
      <diagonal/>
    </border>
    <border>
      <left style="medium">
        <color rgb="FF1CA422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medium">
        <color rgb="FF1CA422"/>
      </right>
      <top style="medium">
        <color rgb="FF1CA422"/>
      </top>
      <bottom/>
      <diagonal/>
    </border>
    <border>
      <left/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medium">
        <color rgb="FF1CA422"/>
      </left>
      <right style="medium">
        <color rgb="FF1CA422"/>
      </right>
      <top/>
      <bottom style="thick">
        <color rgb="FF1CA422"/>
      </bottom>
      <diagonal/>
    </border>
    <border>
      <left style="medium">
        <color rgb="FF1CA422"/>
      </left>
      <right style="medium">
        <color rgb="FF1CA422"/>
      </right>
      <top style="thick">
        <color rgb="FF1CA422"/>
      </top>
      <bottom style="thick">
        <color rgb="FF1CA422"/>
      </bottom>
      <diagonal/>
    </border>
    <border>
      <left style="thin">
        <color rgb="FF1CA422"/>
      </left>
      <right/>
      <top style="thin">
        <color rgb="FF1CA422"/>
      </top>
      <bottom style="thin">
        <color rgb="FF1CA422"/>
      </bottom>
      <diagonal/>
    </border>
    <border>
      <left/>
      <right/>
      <top style="thin">
        <color rgb="FF1CA422"/>
      </top>
      <bottom style="thin">
        <color rgb="FF1CA4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1CA422"/>
      </bottom>
      <diagonal/>
    </border>
    <border>
      <left style="thin">
        <color rgb="FF1CA422"/>
      </left>
      <right/>
      <top style="thin">
        <color rgb="FF1CA422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medium">
        <color rgb="FF1CA422"/>
      </bottom>
      <diagonal/>
    </border>
    <border>
      <left style="medium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/>
      <right/>
      <top style="thin">
        <color rgb="FF1CA422"/>
      </top>
      <bottom/>
      <diagonal/>
    </border>
    <border>
      <left style="thick">
        <color rgb="FF92D050"/>
      </left>
      <right/>
      <top/>
      <bottom/>
      <diagonal/>
    </border>
    <border>
      <left style="thin">
        <color rgb="FF1CA422"/>
      </left>
      <right style="medium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/>
      <diagonal/>
    </border>
    <border>
      <left style="thin">
        <color rgb="FF1CA422"/>
      </left>
      <right style="thin">
        <color rgb="FF1CA422"/>
      </right>
      <top/>
      <bottom/>
      <diagonal/>
    </border>
    <border>
      <left/>
      <right style="thin">
        <color rgb="FF1CA422"/>
      </right>
      <top/>
      <bottom style="thin">
        <color rgb="FF1CA42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rgb="FF1919FF"/>
      </left>
      <right style="thin">
        <color rgb="FF1919FF"/>
      </right>
      <top style="thin">
        <color rgb="FF1919FF"/>
      </top>
      <bottom style="thin">
        <color rgb="FF1919FF"/>
      </bottom>
      <diagonal/>
    </border>
    <border>
      <left style="thin">
        <color rgb="FF1919FF"/>
      </left>
      <right/>
      <top style="thin">
        <color rgb="FF1919FF"/>
      </top>
      <bottom style="thin">
        <color rgb="FF1919FF"/>
      </bottom>
      <diagonal/>
    </border>
    <border>
      <left/>
      <right style="thin">
        <color rgb="FF1CA422"/>
      </right>
      <top style="thin">
        <color rgb="FF1CA422"/>
      </top>
      <bottom/>
      <diagonal/>
    </border>
    <border>
      <left/>
      <right style="thick">
        <color rgb="FF1CA422"/>
      </right>
      <top style="thick">
        <color rgb="FF1CA422"/>
      </top>
      <bottom/>
      <diagonal/>
    </border>
    <border>
      <left style="thick">
        <color rgb="FF1CA422"/>
      </left>
      <right/>
      <top style="thick">
        <color rgb="FF1CA422"/>
      </top>
      <bottom/>
      <diagonal/>
    </border>
    <border>
      <left style="medium">
        <color rgb="FF1CA422"/>
      </left>
      <right style="medium">
        <color rgb="FF1CA422"/>
      </right>
      <top style="thick">
        <color rgb="FF1CA42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1CA422"/>
      </left>
      <right style="thick">
        <color rgb="FF1CA42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1919FF"/>
      </left>
      <right/>
      <top style="thin">
        <color rgb="FF1919FF"/>
      </top>
      <bottom/>
      <diagonal/>
    </border>
    <border>
      <left style="thin">
        <color rgb="FF1919FF"/>
      </left>
      <right style="thin">
        <color rgb="FF1919FF"/>
      </right>
      <top style="thin">
        <color rgb="FF1919FF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34998626667073579"/>
      </right>
      <top style="medium">
        <color theme="0" tint="-0.499984740745262"/>
      </top>
      <bottom/>
      <diagonal/>
    </border>
    <border>
      <left style="thin">
        <color theme="0" tint="-0.34998626667073579"/>
      </left>
      <right/>
      <top style="medium">
        <color theme="0" tint="-0.499984740745262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49998474074526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34998626667073579"/>
      </right>
      <top/>
      <bottom/>
      <diagonal/>
    </border>
    <border>
      <left style="medium">
        <color theme="0" tint="-0.499984740745262"/>
      </left>
      <right style="thin">
        <color theme="0" tint="-0.34998626667073579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theme="0" tint="-0.499984740745262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rgb="FF008DF6"/>
      </left>
      <right style="thin">
        <color rgb="FF008DF6"/>
      </right>
      <top style="thin">
        <color rgb="FF008DF6"/>
      </top>
      <bottom style="thin">
        <color rgb="FF008DF6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theme="0" tint="-0.499984740745262"/>
      </right>
      <top/>
      <bottom/>
      <diagonal/>
    </border>
    <border>
      <left style="thin">
        <color rgb="FF008DF6"/>
      </left>
      <right/>
      <top style="thin">
        <color rgb="FF008DF6"/>
      </top>
      <bottom style="thin">
        <color rgb="FF008DF6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/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medium">
        <color theme="0" tint="-0.499984740745262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34998626667073579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34998626667073579"/>
      </bottom>
      <diagonal/>
    </border>
    <border>
      <left style="medium">
        <color theme="0" tint="-0.499984740745262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499984740745262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499984740745262"/>
      </left>
      <right/>
      <top style="medium">
        <color theme="0" tint="-0.34998626667073579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34998626667073579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medium">
        <color theme="0" tint="-0.499984740745262"/>
      </bottom>
      <diagonal/>
    </border>
    <border>
      <left/>
      <right style="thin">
        <color theme="0" tint="-0.34998626667073579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34998626667073579"/>
      </top>
      <bottom style="medium">
        <color theme="0" tint="-0.499984740745262"/>
      </bottom>
      <diagonal/>
    </border>
    <border>
      <left style="dotted">
        <color rgb="FF2C7688"/>
      </left>
      <right/>
      <top style="dotted">
        <color rgb="FF2C7688"/>
      </top>
      <bottom style="dotted">
        <color rgb="FF2C7688"/>
      </bottom>
      <diagonal/>
    </border>
    <border>
      <left/>
      <right/>
      <top style="dotted">
        <color rgb="FF2C7688"/>
      </top>
      <bottom style="dotted">
        <color rgb="FF2C7688"/>
      </bottom>
      <diagonal/>
    </border>
    <border>
      <left/>
      <right style="dotted">
        <color rgb="FF2C7688"/>
      </right>
      <top style="dotted">
        <color rgb="FF2C7688"/>
      </top>
      <bottom style="dotted">
        <color rgb="FF2C7688"/>
      </bottom>
      <diagonal/>
    </border>
    <border>
      <left/>
      <right style="medium">
        <color rgb="FF1CA422"/>
      </right>
      <top/>
      <bottom style="medium">
        <color rgb="FF1CA422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</borders>
  <cellStyleXfs count="5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24" applyNumberFormat="0" applyAlignment="0" applyProtection="0"/>
    <xf numFmtId="0" fontId="28" fillId="14" borderId="25" applyNumberFormat="0" applyAlignment="0" applyProtection="0"/>
    <xf numFmtId="0" fontId="29" fillId="14" borderId="24" applyNumberFormat="0" applyAlignment="0" applyProtection="0"/>
    <xf numFmtId="0" fontId="30" fillId="0" borderId="26" applyNumberFormat="0" applyFill="0" applyAlignment="0" applyProtection="0"/>
    <xf numFmtId="0" fontId="2" fillId="15" borderId="27" applyNumberFormat="0" applyAlignment="0" applyProtection="0"/>
    <xf numFmtId="0" fontId="31" fillId="0" borderId="0" applyNumberFormat="0" applyFill="0" applyBorder="0" applyAlignment="0" applyProtection="0"/>
    <xf numFmtId="0" fontId="1" fillId="16" borderId="28" applyNumberFormat="0" applyFont="0" applyAlignment="0" applyProtection="0"/>
    <xf numFmtId="0" fontId="32" fillId="0" borderId="0" applyNumberFormat="0" applyFill="0" applyBorder="0" applyAlignment="0" applyProtection="0"/>
    <xf numFmtId="0" fontId="13" fillId="0" borderId="29" applyNumberFormat="0" applyFill="0" applyAlignment="0" applyProtection="0"/>
    <xf numFmtId="0" fontId="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" fillId="40" borderId="0" applyNumberFormat="0" applyBorder="0" applyAlignment="0" applyProtection="0"/>
    <xf numFmtId="0" fontId="3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58">
    <xf numFmtId="0" fontId="0" fillId="0" borderId="0" xfId="0"/>
    <xf numFmtId="0" fontId="0" fillId="0" borderId="0" xfId="0" applyAlignment="1">
      <alignment horizontal="left"/>
    </xf>
    <xf numFmtId="0" fontId="9" fillId="0" borderId="0" xfId="0" applyFont="1" applyAlignment="1">
      <alignment horizontal="center" vertical="top"/>
    </xf>
    <xf numFmtId="0" fontId="2" fillId="0" borderId="0" xfId="0" applyFont="1"/>
    <xf numFmtId="0" fontId="36" fillId="0" borderId="0" xfId="0" applyFont="1" applyAlignment="1">
      <alignment horizontal="left" vertical="top" indent="2"/>
    </xf>
    <xf numFmtId="0" fontId="15" fillId="2" borderId="31" xfId="10" applyFont="1" applyFill="1" applyBorder="1" applyAlignment="1" applyProtection="1">
      <alignment horizontal="center"/>
      <protection hidden="1"/>
    </xf>
    <xf numFmtId="0" fontId="15" fillId="2" borderId="32" xfId="10" applyFont="1" applyFill="1" applyBorder="1" applyAlignment="1" applyProtection="1">
      <alignment horizontal="center"/>
      <protection hidden="1"/>
    </xf>
    <xf numFmtId="0" fontId="15" fillId="2" borderId="32" xfId="10" applyFont="1" applyFill="1" applyBorder="1" applyAlignment="1" applyProtection="1">
      <alignment horizontal="center" wrapText="1"/>
      <protection hidden="1"/>
    </xf>
    <xf numFmtId="43" fontId="15" fillId="2" borderId="32" xfId="11" applyFont="1" applyFill="1" applyBorder="1" applyAlignment="1" applyProtection="1">
      <alignment horizontal="center"/>
      <protection hidden="1"/>
    </xf>
    <xf numFmtId="0" fontId="12" fillId="2" borderId="32" xfId="10" applyFont="1" applyFill="1" applyBorder="1" applyAlignment="1" applyProtection="1">
      <alignment horizontal="center" wrapText="1"/>
      <protection hidden="1"/>
    </xf>
    <xf numFmtId="0" fontId="12" fillId="42" borderId="32" xfId="10" applyFont="1" applyFill="1" applyBorder="1" applyAlignment="1" applyProtection="1">
      <alignment horizontal="center" wrapText="1"/>
      <protection hidden="1"/>
    </xf>
    <xf numFmtId="0" fontId="12" fillId="41" borderId="32" xfId="10" applyFont="1" applyFill="1" applyBorder="1" applyAlignment="1" applyProtection="1">
      <alignment horizontal="center" wrapText="1"/>
      <protection hidden="1"/>
    </xf>
    <xf numFmtId="0" fontId="14" fillId="2" borderId="33" xfId="10" applyFont="1" applyFill="1" applyBorder="1" applyAlignment="1" applyProtection="1">
      <alignment horizontal="center" wrapText="1"/>
      <protection hidden="1"/>
    </xf>
    <xf numFmtId="0" fontId="12" fillId="2" borderId="5" xfId="10" applyFont="1" applyFill="1" applyBorder="1" applyAlignment="1" applyProtection="1">
      <alignment horizontal="center" wrapText="1"/>
      <protection hidden="1"/>
    </xf>
    <xf numFmtId="0" fontId="12" fillId="2" borderId="10" xfId="10" applyFont="1" applyFill="1" applyBorder="1" applyAlignment="1" applyProtection="1">
      <alignment horizontal="center" wrapText="1"/>
      <protection hidden="1"/>
    </xf>
    <xf numFmtId="0" fontId="12" fillId="2" borderId="3" xfId="10" applyFont="1" applyFill="1" applyBorder="1" applyAlignment="1" applyProtection="1">
      <alignment horizontal="center" wrapText="1"/>
      <protection hidden="1"/>
    </xf>
    <xf numFmtId="0" fontId="0" fillId="0" borderId="0" xfId="0" applyProtection="1">
      <protection hidden="1"/>
    </xf>
    <xf numFmtId="0" fontId="15" fillId="2" borderId="34" xfId="10" applyFont="1" applyFill="1" applyBorder="1" applyAlignment="1" applyProtection="1">
      <alignment horizontal="center"/>
      <protection hidden="1"/>
    </xf>
    <xf numFmtId="0" fontId="15" fillId="2" borderId="12" xfId="10" applyFont="1" applyFill="1" applyBorder="1" applyAlignment="1" applyProtection="1">
      <alignment horizontal="center"/>
      <protection hidden="1"/>
    </xf>
    <xf numFmtId="0" fontId="15" fillId="2" borderId="12" xfId="10" applyFont="1" applyFill="1" applyBorder="1" applyAlignment="1" applyProtection="1">
      <alignment horizontal="center" wrapText="1"/>
      <protection hidden="1"/>
    </xf>
    <xf numFmtId="43" fontId="15" fillId="2" borderId="12" xfId="11" quotePrefix="1" applyFont="1" applyFill="1" applyBorder="1" applyAlignment="1" applyProtection="1">
      <alignment horizontal="center"/>
      <protection hidden="1"/>
    </xf>
    <xf numFmtId="0" fontId="12" fillId="2" borderId="12" xfId="10" applyFont="1" applyFill="1" applyBorder="1" applyAlignment="1" applyProtection="1">
      <alignment horizontal="center" wrapText="1"/>
      <protection hidden="1"/>
    </xf>
    <xf numFmtId="0" fontId="12" fillId="42" borderId="12" xfId="10" applyFont="1" applyFill="1" applyBorder="1" applyAlignment="1" applyProtection="1">
      <alignment horizontal="center" wrapText="1"/>
      <protection hidden="1"/>
    </xf>
    <xf numFmtId="0" fontId="12" fillId="41" borderId="12" xfId="10" applyFont="1" applyFill="1" applyBorder="1" applyAlignment="1" applyProtection="1">
      <alignment horizontal="center" wrapText="1"/>
      <protection hidden="1"/>
    </xf>
    <xf numFmtId="0" fontId="14" fillId="2" borderId="13" xfId="10" applyFont="1" applyFill="1" applyBorder="1" applyAlignment="1" applyProtection="1">
      <alignment horizontal="center" wrapText="1"/>
      <protection hidden="1"/>
    </xf>
    <xf numFmtId="0" fontId="12" fillId="2" borderId="16" xfId="10" applyFont="1" applyFill="1" applyBorder="1" applyAlignment="1" applyProtection="1">
      <alignment horizontal="center" wrapText="1"/>
      <protection hidden="1"/>
    </xf>
    <xf numFmtId="0" fontId="12" fillId="2" borderId="9" xfId="10" applyFont="1" applyFill="1" applyBorder="1" applyAlignment="1" applyProtection="1">
      <alignment horizontal="center" wrapText="1"/>
      <protection hidden="1"/>
    </xf>
    <xf numFmtId="0" fontId="12" fillId="2" borderId="1" xfId="10" applyFont="1" applyFill="1" applyBorder="1" applyAlignment="1" applyProtection="1">
      <alignment horizontal="center" wrapText="1"/>
      <protection hidden="1"/>
    </xf>
    <xf numFmtId="0" fontId="0" fillId="0" borderId="16" xfId="0" applyBorder="1" applyProtection="1">
      <protection hidden="1"/>
    </xf>
    <xf numFmtId="0" fontId="0" fillId="0" borderId="4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1" xfId="0" applyBorder="1" applyProtection="1">
      <protection hidden="1"/>
    </xf>
    <xf numFmtId="0" fontId="10" fillId="0" borderId="38" xfId="0" applyFont="1" applyBorder="1" applyProtection="1">
      <protection hidden="1"/>
    </xf>
    <xf numFmtId="0" fontId="10" fillId="0" borderId="49" xfId="0" applyFont="1" applyBorder="1" applyProtection="1">
      <protection hidden="1"/>
    </xf>
    <xf numFmtId="0" fontId="10" fillId="0" borderId="48" xfId="0" applyFont="1" applyBorder="1" applyProtection="1">
      <protection hidden="1"/>
    </xf>
    <xf numFmtId="0" fontId="10" fillId="0" borderId="39" xfId="0" applyFont="1" applyBorder="1" applyProtection="1">
      <protection hidden="1"/>
    </xf>
    <xf numFmtId="0" fontId="10" fillId="0" borderId="0" xfId="0" applyFont="1" applyProtection="1">
      <protection hidden="1"/>
    </xf>
    <xf numFmtId="0" fontId="16" fillId="2" borderId="17" xfId="10" applyFont="1" applyFill="1" applyBorder="1" applyProtection="1">
      <protection hidden="1"/>
    </xf>
    <xf numFmtId="0" fontId="10" fillId="0" borderId="36" xfId="0" applyFont="1" applyBorder="1" applyProtection="1">
      <protection hidden="1"/>
    </xf>
    <xf numFmtId="0" fontId="10" fillId="0" borderId="50" xfId="0" applyFont="1" applyBorder="1" applyProtection="1">
      <protection hidden="1"/>
    </xf>
    <xf numFmtId="0" fontId="16" fillId="0" borderId="17" xfId="10" applyFont="1" applyBorder="1" applyProtection="1">
      <protection hidden="1"/>
    </xf>
    <xf numFmtId="0" fontId="0" fillId="0" borderId="36" xfId="0" applyBorder="1" applyProtection="1">
      <protection hidden="1"/>
    </xf>
    <xf numFmtId="0" fontId="0" fillId="0" borderId="50" xfId="0" applyBorder="1" applyProtection="1">
      <protection hidden="1"/>
    </xf>
    <xf numFmtId="0" fontId="0" fillId="0" borderId="48" xfId="0" applyBorder="1" applyProtection="1">
      <protection hidden="1"/>
    </xf>
    <xf numFmtId="0" fontId="0" fillId="0" borderId="39" xfId="0" applyBorder="1" applyProtection="1">
      <protection hidden="1"/>
    </xf>
    <xf numFmtId="43" fontId="16" fillId="7" borderId="17" xfId="11" applyFont="1" applyFill="1" applyBorder="1" applyProtection="1">
      <protection hidden="1"/>
    </xf>
    <xf numFmtId="0" fontId="10" fillId="0" borderId="17" xfId="10" applyBorder="1" applyProtection="1">
      <protection hidden="1"/>
    </xf>
    <xf numFmtId="0" fontId="10" fillId="0" borderId="0" xfId="10" applyProtection="1">
      <protection hidden="1"/>
    </xf>
    <xf numFmtId="0" fontId="12" fillId="2" borderId="0" xfId="10" applyFont="1" applyFill="1" applyProtection="1">
      <protection hidden="1"/>
    </xf>
    <xf numFmtId="44" fontId="10" fillId="0" borderId="0" xfId="10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2" fillId="41" borderId="2" xfId="10" applyFont="1" applyFill="1" applyBorder="1" applyAlignment="1" applyProtection="1">
      <alignment horizontal="center" wrapText="1"/>
      <protection hidden="1"/>
    </xf>
    <xf numFmtId="0" fontId="6" fillId="0" borderId="0" xfId="0" applyFont="1" applyProtection="1">
      <protection hidden="1"/>
    </xf>
    <xf numFmtId="43" fontId="16" fillId="0" borderId="0" xfId="11" applyFont="1" applyFill="1" applyBorder="1" applyProtection="1">
      <protection hidden="1"/>
    </xf>
    <xf numFmtId="0" fontId="0" fillId="0" borderId="45" xfId="0" applyBorder="1" applyProtection="1">
      <protection hidden="1"/>
    </xf>
    <xf numFmtId="0" fontId="0" fillId="0" borderId="46" xfId="0" applyBorder="1" applyProtection="1">
      <protection hidden="1"/>
    </xf>
    <xf numFmtId="43" fontId="16" fillId="0" borderId="46" xfId="11" applyFont="1" applyFill="1" applyBorder="1" applyProtection="1">
      <protection hidden="1"/>
    </xf>
    <xf numFmtId="0" fontId="12" fillId="2" borderId="46" xfId="10" applyFont="1" applyFill="1" applyBorder="1" applyProtection="1">
      <protection hidden="1"/>
    </xf>
    <xf numFmtId="0" fontId="12" fillId="2" borderId="47" xfId="10" applyFont="1" applyFill="1" applyBorder="1" applyProtection="1">
      <protection hidden="1"/>
    </xf>
    <xf numFmtId="0" fontId="10" fillId="0" borderId="11" xfId="10" applyBorder="1" applyProtection="1">
      <protection hidden="1"/>
    </xf>
    <xf numFmtId="0" fontId="10" fillId="0" borderId="3" xfId="10" applyBorder="1" applyProtection="1">
      <protection hidden="1"/>
    </xf>
    <xf numFmtId="0" fontId="0" fillId="0" borderId="7" xfId="0" applyBorder="1" applyProtection="1">
      <protection hidden="1"/>
    </xf>
    <xf numFmtId="0" fontId="0" fillId="0" borderId="15" xfId="0" applyBorder="1" applyProtection="1">
      <protection hidden="1"/>
    </xf>
    <xf numFmtId="43" fontId="16" fillId="0" borderId="15" xfId="11" applyFont="1" applyFill="1" applyBorder="1" applyProtection="1">
      <protection hidden="1"/>
    </xf>
    <xf numFmtId="0" fontId="12" fillId="2" borderId="15" xfId="10" applyFont="1" applyFill="1" applyBorder="1" applyProtection="1">
      <protection hidden="1"/>
    </xf>
    <xf numFmtId="0" fontId="10" fillId="0" borderId="15" xfId="10" applyBorder="1" applyProtection="1">
      <protection hidden="1"/>
    </xf>
    <xf numFmtId="0" fontId="10" fillId="0" borderId="8" xfId="10" applyBorder="1" applyProtection="1">
      <protection hidden="1"/>
    </xf>
    <xf numFmtId="0" fontId="12" fillId="2" borderId="8" xfId="10" applyFont="1" applyFill="1" applyBorder="1" applyProtection="1">
      <protection hidden="1"/>
    </xf>
    <xf numFmtId="4" fontId="16" fillId="4" borderId="39" xfId="10" applyNumberFormat="1" applyFont="1" applyFill="1" applyBorder="1" applyProtection="1">
      <protection hidden="1"/>
    </xf>
    <xf numFmtId="0" fontId="16" fillId="6" borderId="39" xfId="10" applyFont="1" applyFill="1" applyBorder="1" applyProtection="1">
      <protection hidden="1"/>
    </xf>
    <xf numFmtId="4" fontId="16" fillId="4" borderId="42" xfId="10" applyNumberFormat="1" applyFont="1" applyFill="1" applyBorder="1" applyProtection="1">
      <protection hidden="1"/>
    </xf>
    <xf numFmtId="0" fontId="12" fillId="43" borderId="5" xfId="10" applyFont="1" applyFill="1" applyBorder="1" applyAlignment="1" applyProtection="1">
      <alignment horizontal="center" wrapText="1"/>
      <protection hidden="1"/>
    </xf>
    <xf numFmtId="0" fontId="42" fillId="45" borderId="53" xfId="10" applyFont="1" applyFill="1" applyBorder="1" applyAlignment="1">
      <alignment horizontal="center"/>
    </xf>
    <xf numFmtId="0" fontId="12" fillId="43" borderId="16" xfId="10" quotePrefix="1" applyFont="1" applyFill="1" applyBorder="1" applyAlignment="1" applyProtection="1">
      <alignment horizontal="center" wrapText="1"/>
      <protection hidden="1"/>
    </xf>
    <xf numFmtId="0" fontId="12" fillId="43" borderId="54" xfId="10" applyFont="1" applyFill="1" applyBorder="1" applyAlignment="1" applyProtection="1">
      <alignment horizontal="center" wrapText="1"/>
      <protection hidden="1"/>
    </xf>
    <xf numFmtId="0" fontId="12" fillId="43" borderId="55" xfId="10" applyFont="1" applyFill="1" applyBorder="1" applyAlignment="1" applyProtection="1">
      <alignment horizontal="center" wrapText="1"/>
      <protection hidden="1"/>
    </xf>
    <xf numFmtId="0" fontId="16" fillId="6" borderId="14" xfId="10" applyFont="1" applyFill="1" applyBorder="1" applyProtection="1">
      <protection hidden="1"/>
    </xf>
    <xf numFmtId="0" fontId="16" fillId="2" borderId="14" xfId="10" applyFont="1" applyFill="1" applyBorder="1" applyAlignment="1" applyProtection="1">
      <alignment horizontal="center"/>
      <protection hidden="1"/>
    </xf>
    <xf numFmtId="0" fontId="16" fillId="0" borderId="14" xfId="10" applyFont="1" applyBorder="1" applyProtection="1">
      <protection hidden="1"/>
    </xf>
    <xf numFmtId="0" fontId="16" fillId="0" borderId="18" xfId="10" applyFont="1" applyBorder="1" applyProtection="1">
      <protection hidden="1"/>
    </xf>
    <xf numFmtId="0" fontId="16" fillId="0" borderId="39" xfId="10" applyFont="1" applyBorder="1" applyProtection="1">
      <protection hidden="1"/>
    </xf>
    <xf numFmtId="166" fontId="16" fillId="0" borderId="39" xfId="10" applyNumberFormat="1" applyFont="1" applyBorder="1" applyProtection="1">
      <protection hidden="1"/>
    </xf>
    <xf numFmtId="0" fontId="10" fillId="0" borderId="20" xfId="0" applyFont="1" applyBorder="1" applyAlignment="1" applyProtection="1">
      <alignment wrapText="1"/>
      <protection hidden="1"/>
    </xf>
    <xf numFmtId="0" fontId="10" fillId="0" borderId="19" xfId="0" applyFont="1" applyBorder="1" applyAlignment="1" applyProtection="1">
      <alignment wrapText="1"/>
      <protection hidden="1"/>
    </xf>
    <xf numFmtId="0" fontId="0" fillId="0" borderId="19" xfId="0" applyBorder="1" applyProtection="1">
      <protection hidden="1"/>
    </xf>
    <xf numFmtId="0" fontId="10" fillId="0" borderId="19" xfId="0" applyFont="1" applyBorder="1" applyProtection="1">
      <protection hidden="1"/>
    </xf>
    <xf numFmtId="0" fontId="16" fillId="2" borderId="39" xfId="10" applyFont="1" applyFill="1" applyBorder="1" applyProtection="1">
      <protection hidden="1"/>
    </xf>
    <xf numFmtId="15" fontId="12" fillId="5" borderId="39" xfId="10" applyNumberFormat="1" applyFont="1" applyFill="1" applyBorder="1" applyProtection="1">
      <protection hidden="1"/>
    </xf>
    <xf numFmtId="15" fontId="12" fillId="7" borderId="39" xfId="10" applyNumberFormat="1" applyFont="1" applyFill="1" applyBorder="1" applyProtection="1">
      <protection hidden="1"/>
    </xf>
    <xf numFmtId="0" fontId="10" fillId="0" borderId="39" xfId="10" applyBorder="1" applyProtection="1">
      <protection hidden="1"/>
    </xf>
    <xf numFmtId="0" fontId="12" fillId="43" borderId="13" xfId="10" applyFont="1" applyFill="1" applyBorder="1" applyAlignment="1" applyProtection="1">
      <alignment horizontal="center" wrapText="1"/>
      <protection hidden="1"/>
    </xf>
    <xf numFmtId="0" fontId="14" fillId="2" borderId="0" xfId="10" applyFont="1" applyFill="1" applyAlignment="1" applyProtection="1">
      <alignment horizontal="center" wrapText="1"/>
      <protection hidden="1"/>
    </xf>
    <xf numFmtId="0" fontId="16" fillId="2" borderId="37" xfId="10" applyFont="1" applyFill="1" applyBorder="1" applyAlignment="1" applyProtection="1">
      <alignment horizontal="center"/>
      <protection hidden="1"/>
    </xf>
    <xf numFmtId="4" fontId="16" fillId="46" borderId="51" xfId="10" applyNumberFormat="1" applyFont="1" applyFill="1" applyBorder="1" applyProtection="1">
      <protection hidden="1"/>
    </xf>
    <xf numFmtId="0" fontId="42" fillId="45" borderId="58" xfId="10" applyFont="1" applyFill="1" applyBorder="1" applyAlignment="1">
      <alignment horizontal="center"/>
    </xf>
    <xf numFmtId="0" fontId="15" fillId="2" borderId="32" xfId="10" applyFont="1" applyFill="1" applyBorder="1" applyAlignment="1" applyProtection="1">
      <alignment horizontal="center" vertical="center" wrapText="1"/>
      <protection hidden="1"/>
    </xf>
    <xf numFmtId="44" fontId="16" fillId="5" borderId="52" xfId="2" applyFont="1" applyFill="1" applyBorder="1" applyProtection="1">
      <protection hidden="1"/>
    </xf>
    <xf numFmtId="44" fontId="16" fillId="5" borderId="39" xfId="2" applyFont="1" applyFill="1" applyBorder="1" applyProtection="1">
      <protection hidden="1"/>
    </xf>
    <xf numFmtId="43" fontId="16" fillId="7" borderId="39" xfId="11" applyFont="1" applyFill="1" applyBorder="1" applyProtection="1">
      <protection hidden="1"/>
    </xf>
    <xf numFmtId="0" fontId="0" fillId="0" borderId="39" xfId="0" applyBorder="1" applyAlignment="1" applyProtection="1">
      <alignment horizontal="center"/>
      <protection hidden="1"/>
    </xf>
    <xf numFmtId="4" fontId="0" fillId="0" borderId="39" xfId="0" applyNumberFormat="1" applyBorder="1" applyProtection="1">
      <protection hidden="1"/>
    </xf>
    <xf numFmtId="0" fontId="0" fillId="0" borderId="39" xfId="0" applyBorder="1"/>
    <xf numFmtId="43" fontId="16" fillId="0" borderId="39" xfId="11" applyFont="1" applyFill="1" applyBorder="1" applyProtection="1">
      <protection hidden="1"/>
    </xf>
    <xf numFmtId="0" fontId="12" fillId="2" borderId="39" xfId="10" applyFont="1" applyFill="1" applyBorder="1" applyProtection="1">
      <protection hidden="1"/>
    </xf>
    <xf numFmtId="44" fontId="0" fillId="0" borderId="62" xfId="2" applyFont="1" applyBorder="1" applyProtection="1">
      <protection hidden="1"/>
    </xf>
    <xf numFmtId="0" fontId="0" fillId="0" borderId="60" xfId="0" applyBorder="1" applyProtection="1">
      <protection hidden="1"/>
    </xf>
    <xf numFmtId="44" fontId="0" fillId="0" borderId="63" xfId="2" applyFont="1" applyBorder="1" applyProtection="1">
      <protection hidden="1"/>
    </xf>
    <xf numFmtId="0" fontId="0" fillId="0" borderId="64" xfId="0" applyBorder="1" applyProtection="1">
      <protection hidden="1"/>
    </xf>
    <xf numFmtId="44" fontId="0" fillId="0" borderId="43" xfId="2" applyFont="1" applyBorder="1" applyProtection="1">
      <protection hidden="1"/>
    </xf>
    <xf numFmtId="0" fontId="0" fillId="0" borderId="64" xfId="0" applyBorder="1" applyAlignment="1" applyProtection="1">
      <alignment horizontal="right"/>
      <protection hidden="1"/>
    </xf>
    <xf numFmtId="0" fontId="0" fillId="0" borderId="59" xfId="0" applyBorder="1" applyProtection="1">
      <protection hidden="1"/>
    </xf>
    <xf numFmtId="44" fontId="0" fillId="0" borderId="41" xfId="0" applyNumberFormat="1" applyBorder="1" applyProtection="1">
      <protection hidden="1"/>
    </xf>
    <xf numFmtId="0" fontId="0" fillId="0" borderId="65" xfId="0" applyBorder="1" applyProtection="1">
      <protection hidden="1"/>
    </xf>
    <xf numFmtId="43" fontId="16" fillId="0" borderId="65" xfId="11" applyFont="1" applyFill="1" applyBorder="1" applyProtection="1">
      <protection hidden="1"/>
    </xf>
    <xf numFmtId="0" fontId="12" fillId="2" borderId="65" xfId="10" applyFont="1" applyFill="1" applyBorder="1" applyProtection="1">
      <protection hidden="1"/>
    </xf>
    <xf numFmtId="0" fontId="12" fillId="2" borderId="63" xfId="10" applyFont="1" applyFill="1" applyBorder="1" applyProtection="1">
      <protection hidden="1"/>
    </xf>
    <xf numFmtId="0" fontId="12" fillId="2" borderId="43" xfId="10" applyFont="1" applyFill="1" applyBorder="1" applyProtection="1">
      <protection hidden="1"/>
    </xf>
    <xf numFmtId="0" fontId="0" fillId="0" borderId="66" xfId="0" applyBorder="1" applyProtection="1">
      <protection hidden="1"/>
    </xf>
    <xf numFmtId="0" fontId="0" fillId="0" borderId="40" xfId="0" applyBorder="1" applyProtection="1">
      <protection hidden="1"/>
    </xf>
    <xf numFmtId="43" fontId="16" fillId="0" borderId="40" xfId="11" applyFont="1" applyFill="1" applyBorder="1" applyProtection="1">
      <protection hidden="1"/>
    </xf>
    <xf numFmtId="0" fontId="12" fillId="2" borderId="40" xfId="10" applyFont="1" applyFill="1" applyBorder="1" applyProtection="1">
      <protection hidden="1"/>
    </xf>
    <xf numFmtId="0" fontId="12" fillId="2" borderId="67" xfId="10" applyFont="1" applyFill="1" applyBorder="1" applyProtection="1">
      <protection hidden="1"/>
    </xf>
    <xf numFmtId="4" fontId="16" fillId="4" borderId="68" xfId="10" applyNumberFormat="1" applyFont="1" applyFill="1" applyBorder="1" applyProtection="1">
      <protection hidden="1"/>
    </xf>
    <xf numFmtId="4" fontId="16" fillId="4" borderId="51" xfId="10" applyNumberFormat="1" applyFont="1" applyFill="1" applyBorder="1" applyProtection="1">
      <protection hidden="1"/>
    </xf>
    <xf numFmtId="0" fontId="16" fillId="6" borderId="48" xfId="10" applyFont="1" applyFill="1" applyBorder="1" applyProtection="1">
      <protection hidden="1"/>
    </xf>
    <xf numFmtId="0" fontId="16" fillId="6" borderId="37" xfId="10" applyFont="1" applyFill="1" applyBorder="1" applyProtection="1">
      <protection hidden="1"/>
    </xf>
    <xf numFmtId="44" fontId="16" fillId="5" borderId="14" xfId="2" applyFont="1" applyFill="1" applyBorder="1" applyProtection="1">
      <protection hidden="1"/>
    </xf>
    <xf numFmtId="0" fontId="16" fillId="2" borderId="42" xfId="10" applyFont="1" applyFill="1" applyBorder="1" applyProtection="1">
      <protection hidden="1"/>
    </xf>
    <xf numFmtId="43" fontId="16" fillId="7" borderId="42" xfId="11" applyFont="1" applyFill="1" applyBorder="1" applyProtection="1">
      <protection hidden="1"/>
    </xf>
    <xf numFmtId="0" fontId="38" fillId="0" borderId="0" xfId="0" applyFont="1" applyProtection="1">
      <protection hidden="1"/>
    </xf>
    <xf numFmtId="0" fontId="16" fillId="0" borderId="70" xfId="10" applyFont="1" applyBorder="1" applyProtection="1">
      <protection hidden="1"/>
    </xf>
    <xf numFmtId="0" fontId="48" fillId="0" borderId="70" xfId="10" applyFont="1" applyBorder="1" applyProtection="1">
      <protection hidden="1"/>
    </xf>
    <xf numFmtId="0" fontId="39" fillId="3" borderId="70" xfId="10" applyFont="1" applyFill="1" applyBorder="1" applyProtection="1">
      <protection hidden="1"/>
    </xf>
    <xf numFmtId="0" fontId="16" fillId="2" borderId="70" xfId="10" applyFont="1" applyFill="1" applyBorder="1" applyProtection="1">
      <protection hidden="1"/>
    </xf>
    <xf numFmtId="43" fontId="48" fillId="7" borderId="70" xfId="11" applyFont="1" applyFill="1" applyBorder="1" applyProtection="1">
      <protection hidden="1"/>
    </xf>
    <xf numFmtId="4" fontId="39" fillId="46" borderId="70" xfId="10" applyNumberFormat="1" applyFont="1" applyFill="1" applyBorder="1" applyProtection="1">
      <protection hidden="1"/>
    </xf>
    <xf numFmtId="4" fontId="16" fillId="4" borderId="70" xfId="10" applyNumberFormat="1" applyFont="1" applyFill="1" applyBorder="1" applyProtection="1">
      <protection hidden="1"/>
    </xf>
    <xf numFmtId="44" fontId="39" fillId="5" borderId="70" xfId="2" applyFont="1" applyFill="1" applyBorder="1" applyProtection="1">
      <protection hidden="1"/>
    </xf>
    <xf numFmtId="0" fontId="39" fillId="6" borderId="70" xfId="10" applyFont="1" applyFill="1" applyBorder="1" applyProtection="1">
      <protection hidden="1"/>
    </xf>
    <xf numFmtId="44" fontId="16" fillId="5" borderId="70" xfId="2" applyFont="1" applyFill="1" applyBorder="1" applyProtection="1">
      <protection hidden="1"/>
    </xf>
    <xf numFmtId="0" fontId="16" fillId="6" borderId="70" xfId="10" applyFont="1" applyFill="1" applyBorder="1" applyProtection="1">
      <protection hidden="1"/>
    </xf>
    <xf numFmtId="15" fontId="12" fillId="7" borderId="70" xfId="10" applyNumberFormat="1" applyFont="1" applyFill="1" applyBorder="1" applyProtection="1">
      <protection hidden="1"/>
    </xf>
    <xf numFmtId="0" fontId="0" fillId="0" borderId="70" xfId="0" applyBorder="1" applyProtection="1">
      <protection hidden="1"/>
    </xf>
    <xf numFmtId="0" fontId="11" fillId="0" borderId="70" xfId="10" applyFont="1" applyBorder="1" applyProtection="1">
      <protection hidden="1"/>
    </xf>
    <xf numFmtId="0" fontId="52" fillId="0" borderId="17" xfId="10" applyFont="1" applyBorder="1" applyProtection="1">
      <protection hidden="1"/>
    </xf>
    <xf numFmtId="0" fontId="50" fillId="0" borderId="0" xfId="0" applyFont="1" applyProtection="1">
      <protection hidden="1"/>
    </xf>
    <xf numFmtId="165" fontId="20" fillId="0" borderId="0" xfId="1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center"/>
      <protection hidden="1"/>
    </xf>
    <xf numFmtId="15" fontId="54" fillId="5" borderId="39" xfId="10" applyNumberFormat="1" applyFont="1" applyFill="1" applyBorder="1" applyProtection="1">
      <protection hidden="1"/>
    </xf>
    <xf numFmtId="15" fontId="54" fillId="7" borderId="39" xfId="10" applyNumberFormat="1" applyFont="1" applyFill="1" applyBorder="1" applyProtection="1">
      <protection hidden="1"/>
    </xf>
    <xf numFmtId="0" fontId="53" fillId="0" borderId="44" xfId="10" applyFont="1" applyBorder="1" applyProtection="1">
      <protection hidden="1"/>
    </xf>
    <xf numFmtId="0" fontId="16" fillId="0" borderId="36" xfId="10" applyFont="1" applyBorder="1" applyProtection="1">
      <protection hidden="1"/>
    </xf>
    <xf numFmtId="0" fontId="16" fillId="0" borderId="69" xfId="10" applyFont="1" applyBorder="1" applyProtection="1">
      <protection hidden="1"/>
    </xf>
    <xf numFmtId="0" fontId="16" fillId="0" borderId="48" xfId="10" applyFont="1" applyBorder="1" applyProtection="1">
      <protection hidden="1"/>
    </xf>
    <xf numFmtId="0" fontId="53" fillId="0" borderId="16" xfId="10" applyFont="1" applyBorder="1" applyProtection="1">
      <protection hidden="1"/>
    </xf>
    <xf numFmtId="0" fontId="52" fillId="0" borderId="35" xfId="10" applyFont="1" applyBorder="1" applyProtection="1">
      <protection hidden="1"/>
    </xf>
    <xf numFmtId="0" fontId="16" fillId="0" borderId="75" xfId="10" applyFont="1" applyBorder="1" applyProtection="1">
      <protection hidden="1"/>
    </xf>
    <xf numFmtId="0" fontId="16" fillId="2" borderId="40" xfId="10" applyFont="1" applyFill="1" applyBorder="1" applyProtection="1">
      <protection hidden="1"/>
    </xf>
    <xf numFmtId="43" fontId="16" fillId="7" borderId="40" xfId="11" applyFont="1" applyFill="1" applyBorder="1" applyProtection="1">
      <protection hidden="1"/>
    </xf>
    <xf numFmtId="0" fontId="16" fillId="0" borderId="40" xfId="10" applyFont="1" applyBorder="1" applyProtection="1">
      <protection hidden="1"/>
    </xf>
    <xf numFmtId="4" fontId="16" fillId="4" borderId="40" xfId="10" applyNumberFormat="1" applyFont="1" applyFill="1" applyBorder="1" applyProtection="1">
      <protection hidden="1"/>
    </xf>
    <xf numFmtId="44" fontId="16" fillId="5" borderId="40" xfId="2" applyFont="1" applyFill="1" applyBorder="1" applyProtection="1">
      <protection hidden="1"/>
    </xf>
    <xf numFmtId="0" fontId="16" fillId="6" borderId="40" xfId="10" applyFont="1" applyFill="1" applyBorder="1" applyProtection="1">
      <protection hidden="1"/>
    </xf>
    <xf numFmtId="0" fontId="0" fillId="0" borderId="76" xfId="0" applyBorder="1" applyProtection="1">
      <protection hidden="1"/>
    </xf>
    <xf numFmtId="0" fontId="0" fillId="0" borderId="77" xfId="0" applyBorder="1" applyProtection="1">
      <protection hidden="1"/>
    </xf>
    <xf numFmtId="0" fontId="0" fillId="0" borderId="78" xfId="0" applyBorder="1" applyProtection="1">
      <protection hidden="1"/>
    </xf>
    <xf numFmtId="0" fontId="0" fillId="0" borderId="75" xfId="0" applyBorder="1" applyProtection="1">
      <protection hidden="1"/>
    </xf>
    <xf numFmtId="0" fontId="10" fillId="0" borderId="40" xfId="0" applyFont="1" applyBorder="1" applyProtection="1">
      <protection hidden="1"/>
    </xf>
    <xf numFmtId="0" fontId="53" fillId="0" borderId="73" xfId="10" applyFont="1" applyBorder="1" applyProtection="1">
      <protection hidden="1"/>
    </xf>
    <xf numFmtId="0" fontId="52" fillId="0" borderId="73" xfId="10" applyFont="1" applyBorder="1" applyProtection="1">
      <protection hidden="1"/>
    </xf>
    <xf numFmtId="0" fontId="16" fillId="0" borderId="73" xfId="10" applyFont="1" applyBorder="1" applyProtection="1">
      <protection hidden="1"/>
    </xf>
    <xf numFmtId="0" fontId="16" fillId="2" borderId="73" xfId="10" applyFont="1" applyFill="1" applyBorder="1" applyProtection="1">
      <protection hidden="1"/>
    </xf>
    <xf numFmtId="43" fontId="16" fillId="7" borderId="73" xfId="11" applyFont="1" applyFill="1" applyBorder="1" applyProtection="1">
      <protection hidden="1"/>
    </xf>
    <xf numFmtId="4" fontId="16" fillId="4" borderId="73" xfId="10" applyNumberFormat="1" applyFont="1" applyFill="1" applyBorder="1" applyProtection="1">
      <protection hidden="1"/>
    </xf>
    <xf numFmtId="44" fontId="16" fillId="5" borderId="73" xfId="2" applyFont="1" applyFill="1" applyBorder="1" applyProtection="1">
      <protection hidden="1"/>
    </xf>
    <xf numFmtId="0" fontId="16" fillId="6" borderId="73" xfId="10" applyFont="1" applyFill="1" applyBorder="1" applyProtection="1">
      <protection hidden="1"/>
    </xf>
    <xf numFmtId="0" fontId="0" fillId="0" borderId="73" xfId="0" applyBorder="1" applyProtection="1">
      <protection hidden="1"/>
    </xf>
    <xf numFmtId="0" fontId="10" fillId="0" borderId="73" xfId="0" applyFont="1" applyBorder="1" applyProtection="1">
      <protection hidden="1"/>
    </xf>
    <xf numFmtId="0" fontId="46" fillId="0" borderId="7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74" xfId="0" applyBorder="1" applyProtection="1">
      <protection hidden="1"/>
    </xf>
    <xf numFmtId="170" fontId="62" fillId="2" borderId="0" xfId="2" applyNumberFormat="1" applyFont="1" applyFill="1" applyBorder="1" applyAlignment="1" applyProtection="1">
      <alignment horizontal="center" vertical="center"/>
      <protection hidden="1"/>
    </xf>
    <xf numFmtId="44" fontId="62" fillId="2" borderId="0" xfId="2" applyFont="1" applyFill="1" applyBorder="1" applyAlignment="1" applyProtection="1">
      <alignment horizontal="center" vertical="center"/>
      <protection hidden="1"/>
    </xf>
    <xf numFmtId="169" fontId="62" fillId="2" borderId="0" xfId="1" applyNumberFormat="1" applyFont="1" applyFill="1" applyBorder="1" applyAlignment="1" applyProtection="1">
      <alignment horizontal="center" vertical="center"/>
      <protection hidden="1"/>
    </xf>
    <xf numFmtId="44" fontId="64" fillId="2" borderId="0" xfId="2" applyFont="1" applyFill="1" applyBorder="1" applyAlignment="1" applyProtection="1">
      <alignment horizontal="center" vertical="center"/>
      <protection hidden="1"/>
    </xf>
    <xf numFmtId="0" fontId="55" fillId="0" borderId="0" xfId="0" applyFont="1"/>
    <xf numFmtId="14" fontId="0" fillId="0" borderId="0" xfId="0" applyNumberFormat="1"/>
    <xf numFmtId="0" fontId="71" fillId="0" borderId="0" xfId="0" applyFont="1"/>
    <xf numFmtId="0" fontId="34" fillId="0" borderId="0" xfId="0" applyFont="1"/>
    <xf numFmtId="44" fontId="4" fillId="51" borderId="83" xfId="2" applyFont="1" applyFill="1" applyBorder="1" applyAlignment="1" applyProtection="1">
      <alignment horizontal="center" vertical="center"/>
      <protection hidden="1"/>
    </xf>
    <xf numFmtId="44" fontId="4" fillId="51" borderId="82" xfId="2" applyFont="1" applyFill="1" applyBorder="1" applyAlignment="1" applyProtection="1">
      <alignment horizontal="center" vertical="center"/>
      <protection hidden="1"/>
    </xf>
    <xf numFmtId="43" fontId="20" fillId="0" borderId="0" xfId="1" applyFont="1" applyFill="1" applyBorder="1" applyAlignment="1" applyProtection="1">
      <alignment horizontal="right"/>
      <protection hidden="1"/>
    </xf>
    <xf numFmtId="43" fontId="62" fillId="2" borderId="0" xfId="1" applyFont="1" applyFill="1" applyBorder="1" applyAlignment="1" applyProtection="1">
      <alignment horizontal="right" vertical="center"/>
      <protection hidden="1"/>
    </xf>
    <xf numFmtId="43" fontId="62" fillId="2" borderId="0" xfId="1" applyFont="1" applyFill="1" applyBorder="1" applyAlignment="1" applyProtection="1">
      <alignment horizontal="center" vertical="center"/>
      <protection hidden="1"/>
    </xf>
    <xf numFmtId="4" fontId="17" fillId="8" borderId="70" xfId="0" applyNumberFormat="1" applyFont="1" applyFill="1" applyBorder="1" applyProtection="1">
      <protection locked="0"/>
    </xf>
    <xf numFmtId="4" fontId="64" fillId="0" borderId="80" xfId="1" applyNumberFormat="1" applyFont="1" applyFill="1" applyBorder="1" applyAlignment="1" applyProtection="1">
      <protection hidden="1"/>
    </xf>
    <xf numFmtId="44" fontId="64" fillId="0" borderId="80" xfId="2" applyFont="1" applyFill="1" applyBorder="1" applyAlignment="1" applyProtection="1">
      <alignment horizontal="center" vertical="center"/>
      <protection hidden="1"/>
    </xf>
    <xf numFmtId="0" fontId="16" fillId="2" borderId="30" xfId="10" applyFont="1" applyFill="1" applyBorder="1" applyProtection="1">
      <protection hidden="1"/>
    </xf>
    <xf numFmtId="43" fontId="16" fillId="7" borderId="30" xfId="11" applyFont="1" applyFill="1" applyBorder="1" applyProtection="1">
      <protection hidden="1"/>
    </xf>
    <xf numFmtId="44" fontId="16" fillId="5" borderId="56" xfId="2" applyFont="1" applyFill="1" applyBorder="1" applyProtection="1">
      <protection hidden="1"/>
    </xf>
    <xf numFmtId="44" fontId="16" fillId="5" borderId="61" xfId="2" applyFont="1" applyFill="1" applyBorder="1" applyProtection="1">
      <protection hidden="1"/>
    </xf>
    <xf numFmtId="0" fontId="16" fillId="6" borderId="18" xfId="10" applyFont="1" applyFill="1" applyBorder="1" applyProtection="1">
      <protection hidden="1"/>
    </xf>
    <xf numFmtId="4" fontId="16" fillId="46" borderId="57" xfId="10" applyNumberFormat="1" applyFont="1" applyFill="1" applyBorder="1" applyProtection="1">
      <protection hidden="1"/>
    </xf>
    <xf numFmtId="4" fontId="16" fillId="46" borderId="73" xfId="10" applyNumberFormat="1" applyFont="1" applyFill="1" applyBorder="1" applyProtection="1">
      <protection hidden="1"/>
    </xf>
    <xf numFmtId="44" fontId="16" fillId="3" borderId="14" xfId="12" applyFont="1" applyFill="1" applyBorder="1" applyProtection="1">
      <protection hidden="1"/>
    </xf>
    <xf numFmtId="0" fontId="0" fillId="0" borderId="97" xfId="0" applyBorder="1" applyProtection="1">
      <protection hidden="1"/>
    </xf>
    <xf numFmtId="43" fontId="39" fillId="7" borderId="90" xfId="11" applyFont="1" applyFill="1" applyBorder="1" applyProtection="1">
      <protection hidden="1"/>
    </xf>
    <xf numFmtId="0" fontId="16" fillId="0" borderId="98" xfId="10" applyFont="1" applyBorder="1" applyProtection="1">
      <protection hidden="1"/>
    </xf>
    <xf numFmtId="0" fontId="16" fillId="2" borderId="98" xfId="10" applyFont="1" applyFill="1" applyBorder="1" applyProtection="1">
      <protection hidden="1"/>
    </xf>
    <xf numFmtId="0" fontId="10" fillId="0" borderId="40" xfId="10" applyBorder="1" applyProtection="1">
      <protection hidden="1"/>
    </xf>
    <xf numFmtId="0" fontId="0" fillId="0" borderId="98" xfId="0" applyBorder="1" applyProtection="1">
      <protection hidden="1"/>
    </xf>
    <xf numFmtId="0" fontId="10" fillId="0" borderId="98" xfId="0" applyFont="1" applyBorder="1" applyProtection="1">
      <protection hidden="1"/>
    </xf>
    <xf numFmtId="0" fontId="46" fillId="0" borderId="98" xfId="0" applyFont="1" applyBorder="1" applyAlignment="1" applyProtection="1">
      <alignment horizontal="center"/>
      <protection hidden="1"/>
    </xf>
    <xf numFmtId="43" fontId="16" fillId="0" borderId="14" xfId="11" applyFont="1" applyFill="1" applyBorder="1" applyProtection="1">
      <protection hidden="1"/>
    </xf>
    <xf numFmtId="0" fontId="16" fillId="2" borderId="14" xfId="10" applyFont="1" applyFill="1" applyBorder="1" applyProtection="1">
      <protection hidden="1"/>
    </xf>
    <xf numFmtId="0" fontId="0" fillId="0" borderId="14" xfId="0" applyBorder="1" applyProtection="1">
      <protection hidden="1"/>
    </xf>
    <xf numFmtId="0" fontId="10" fillId="0" borderId="14" xfId="0" applyFont="1" applyBorder="1" applyProtection="1">
      <protection hidden="1"/>
    </xf>
    <xf numFmtId="0" fontId="10" fillId="9" borderId="14" xfId="10" applyFill="1" applyBorder="1" applyProtection="1">
      <protection hidden="1"/>
    </xf>
    <xf numFmtId="0" fontId="0" fillId="9" borderId="14" xfId="0" applyFill="1" applyBorder="1" applyProtection="1">
      <protection hidden="1"/>
    </xf>
    <xf numFmtId="4" fontId="0" fillId="0" borderId="14" xfId="0" applyNumberFormat="1" applyBorder="1" applyProtection="1">
      <protection hidden="1"/>
    </xf>
    <xf numFmtId="0" fontId="0" fillId="44" borderId="14" xfId="0" applyFill="1" applyBorder="1" applyAlignment="1" applyProtection="1">
      <alignment horizontal="center"/>
      <protection hidden="1"/>
    </xf>
    <xf numFmtId="43" fontId="16" fillId="9" borderId="14" xfId="11" applyFont="1" applyFill="1" applyBorder="1" applyProtection="1">
      <protection hidden="1"/>
    </xf>
    <xf numFmtId="0" fontId="12" fillId="9" borderId="14" xfId="10" applyFont="1" applyFill="1" applyBorder="1" applyProtection="1">
      <protection hidden="1"/>
    </xf>
    <xf numFmtId="44" fontId="10" fillId="9" borderId="14" xfId="10" applyNumberFormat="1" applyFill="1" applyBorder="1" applyProtection="1">
      <protection hidden="1"/>
    </xf>
    <xf numFmtId="0" fontId="12" fillId="2" borderId="14" xfId="10" applyFont="1" applyFill="1" applyBorder="1" applyProtection="1">
      <protection hidden="1"/>
    </xf>
    <xf numFmtId="0" fontId="10" fillId="0" borderId="14" xfId="10" applyBorder="1" applyProtection="1">
      <protection hidden="1"/>
    </xf>
    <xf numFmtId="0" fontId="10" fillId="9" borderId="99" xfId="10" applyFill="1" applyBorder="1" applyProtection="1">
      <protection hidden="1"/>
    </xf>
    <xf numFmtId="0" fontId="10" fillId="0" borderId="100" xfId="10" applyBorder="1" applyProtection="1">
      <protection hidden="1"/>
    </xf>
    <xf numFmtId="4" fontId="16" fillId="46" borderId="0" xfId="10" applyNumberFormat="1" applyFont="1" applyFill="1" applyProtection="1">
      <protection hidden="1"/>
    </xf>
    <xf numFmtId="4" fontId="16" fillId="46" borderId="52" xfId="10" applyNumberFormat="1" applyFont="1" applyFill="1" applyBorder="1" applyProtection="1">
      <protection hidden="1"/>
    </xf>
    <xf numFmtId="0" fontId="42" fillId="45" borderId="54" xfId="10" applyFont="1" applyFill="1" applyBorder="1" applyAlignment="1">
      <alignment horizontal="center"/>
    </xf>
    <xf numFmtId="0" fontId="42" fillId="45" borderId="101" xfId="10" applyFont="1" applyFill="1" applyBorder="1" applyAlignment="1" applyProtection="1">
      <alignment horizontal="center"/>
      <protection locked="0"/>
    </xf>
    <xf numFmtId="0" fontId="15" fillId="2" borderId="5" xfId="10" applyFont="1" applyFill="1" applyBorder="1" applyProtection="1">
      <protection hidden="1"/>
    </xf>
    <xf numFmtId="0" fontId="42" fillId="45" borderId="102" xfId="10" applyFont="1" applyFill="1" applyBorder="1" applyAlignment="1">
      <alignment horizontal="center"/>
    </xf>
    <xf numFmtId="43" fontId="15" fillId="2" borderId="5" xfId="11" applyFont="1" applyFill="1" applyBorder="1" applyAlignment="1" applyProtection="1">
      <alignment horizontal="center"/>
      <protection hidden="1"/>
    </xf>
    <xf numFmtId="0" fontId="15" fillId="2" borderId="5" xfId="10" applyFont="1" applyFill="1" applyBorder="1" applyAlignment="1" applyProtection="1">
      <alignment horizontal="center" wrapText="1"/>
      <protection hidden="1"/>
    </xf>
    <xf numFmtId="0" fontId="10" fillId="0" borderId="30" xfId="10" applyBorder="1" applyProtection="1">
      <protection hidden="1"/>
    </xf>
    <xf numFmtId="0" fontId="52" fillId="0" borderId="30" xfId="10" applyFont="1" applyBorder="1" applyProtection="1">
      <protection hidden="1"/>
    </xf>
    <xf numFmtId="0" fontId="16" fillId="0" borderId="30" xfId="10" applyFont="1" applyBorder="1" applyProtection="1">
      <protection hidden="1"/>
    </xf>
    <xf numFmtId="0" fontId="16" fillId="0" borderId="38" xfId="10" applyFont="1" applyBorder="1" applyProtection="1">
      <protection hidden="1"/>
    </xf>
    <xf numFmtId="0" fontId="16" fillId="0" borderId="14" xfId="0" applyFont="1" applyBorder="1" applyProtection="1">
      <protection hidden="1"/>
    </xf>
    <xf numFmtId="168" fontId="16" fillId="2" borderId="14" xfId="10" applyNumberFormat="1" applyFont="1" applyFill="1" applyBorder="1" applyProtection="1">
      <protection hidden="1"/>
    </xf>
    <xf numFmtId="43" fontId="16" fillId="0" borderId="14" xfId="1" applyFont="1" applyFill="1" applyBorder="1" applyProtection="1">
      <protection hidden="1"/>
    </xf>
    <xf numFmtId="2" fontId="16" fillId="0" borderId="14" xfId="10" applyNumberFormat="1" applyFont="1" applyBorder="1" applyProtection="1">
      <protection hidden="1"/>
    </xf>
    <xf numFmtId="0" fontId="17" fillId="0" borderId="14" xfId="0" applyFont="1" applyBorder="1" applyProtection="1">
      <protection hidden="1"/>
    </xf>
    <xf numFmtId="168" fontId="0" fillId="0" borderId="14" xfId="0" applyNumberFormat="1" applyBorder="1" applyProtection="1">
      <protection hidden="1"/>
    </xf>
    <xf numFmtId="0" fontId="11" fillId="0" borderId="14" xfId="10" applyFont="1" applyBorder="1" applyProtection="1">
      <protection hidden="1"/>
    </xf>
    <xf numFmtId="0" fontId="31" fillId="0" borderId="0" xfId="0" applyFont="1" applyProtection="1">
      <protection hidden="1"/>
    </xf>
    <xf numFmtId="4" fontId="17" fillId="8" borderId="80" xfId="0" applyNumberFormat="1" applyFont="1" applyFill="1" applyBorder="1" applyProtection="1">
      <protection locked="0"/>
    </xf>
    <xf numFmtId="0" fontId="5" fillId="2" borderId="0" xfId="0" applyFont="1" applyFill="1" applyAlignment="1">
      <alignment horizontal="center"/>
    </xf>
    <xf numFmtId="43" fontId="39" fillId="0" borderId="14" xfId="11" applyFont="1" applyFill="1" applyBorder="1" applyProtection="1">
      <protection hidden="1"/>
    </xf>
    <xf numFmtId="15" fontId="12" fillId="0" borderId="73" xfId="10" applyNumberFormat="1" applyFont="1" applyBorder="1" applyProtection="1">
      <protection hidden="1"/>
    </xf>
    <xf numFmtId="15" fontId="12" fillId="0" borderId="39" xfId="10" applyNumberFormat="1" applyFont="1" applyBorder="1" applyProtection="1">
      <protection hidden="1"/>
    </xf>
    <xf numFmtId="15" fontId="12" fillId="0" borderId="40" xfId="10" applyNumberFormat="1" applyFont="1" applyBorder="1" applyProtection="1">
      <protection hidden="1"/>
    </xf>
    <xf numFmtId="43" fontId="16" fillId="0" borderId="73" xfId="11" applyFont="1" applyFill="1" applyBorder="1" applyProtection="1">
      <protection hidden="1"/>
    </xf>
    <xf numFmtId="0" fontId="41" fillId="52" borderId="0" xfId="0" applyFont="1" applyFill="1"/>
    <xf numFmtId="0" fontId="4" fillId="52" borderId="0" xfId="0" applyFont="1" applyFill="1" applyAlignment="1">
      <alignment horizontal="left" vertical="top"/>
    </xf>
    <xf numFmtId="44" fontId="0" fillId="0" borderId="0" xfId="2" applyFont="1"/>
    <xf numFmtId="0" fontId="0" fillId="0" borderId="103" xfId="0" applyBorder="1" applyProtection="1">
      <protection hidden="1"/>
    </xf>
    <xf numFmtId="0" fontId="0" fillId="50" borderId="103" xfId="0" applyFill="1" applyBorder="1" applyProtection="1">
      <protection hidden="1"/>
    </xf>
    <xf numFmtId="44" fontId="39" fillId="3" borderId="14" xfId="12" applyFont="1" applyFill="1" applyBorder="1" applyProtection="1">
      <protection hidden="1"/>
    </xf>
    <xf numFmtId="44" fontId="64" fillId="55" borderId="0" xfId="2" applyFont="1" applyFill="1" applyBorder="1" applyAlignment="1" applyProtection="1">
      <alignment horizontal="center" vertical="center"/>
      <protection hidden="1"/>
    </xf>
    <xf numFmtId="0" fontId="4" fillId="56" borderId="0" xfId="0" applyFont="1" applyFill="1" applyAlignment="1" applyProtection="1">
      <alignment horizontal="left" vertical="top"/>
      <protection hidden="1"/>
    </xf>
    <xf numFmtId="0" fontId="4" fillId="54" borderId="0" xfId="0" applyFont="1" applyFill="1" applyAlignment="1" applyProtection="1">
      <alignment horizontal="right" vertical="top"/>
      <protection hidden="1"/>
    </xf>
    <xf numFmtId="0" fontId="64" fillId="54" borderId="0" xfId="0" applyFont="1" applyFill="1" applyAlignment="1" applyProtection="1">
      <alignment horizontal="right" vertical="top"/>
      <protection hidden="1"/>
    </xf>
    <xf numFmtId="0" fontId="6" fillId="54" borderId="86" xfId="0" applyFont="1" applyFill="1" applyBorder="1" applyAlignment="1" applyProtection="1">
      <alignment horizontal="left" vertical="top"/>
      <protection hidden="1"/>
    </xf>
    <xf numFmtId="171" fontId="64" fillId="54" borderId="84" xfId="1" applyNumberFormat="1" applyFont="1" applyFill="1" applyBorder="1" applyAlignment="1" applyProtection="1">
      <alignment horizontal="center" vertical="center"/>
      <protection hidden="1"/>
    </xf>
    <xf numFmtId="173" fontId="64" fillId="54" borderId="79" xfId="1" applyNumberFormat="1" applyFont="1" applyFill="1" applyBorder="1" applyAlignment="1" applyProtection="1">
      <alignment horizontal="center" vertical="center"/>
      <protection hidden="1"/>
    </xf>
    <xf numFmtId="173" fontId="64" fillId="54" borderId="83" xfId="1" applyNumberFormat="1" applyFont="1" applyFill="1" applyBorder="1" applyAlignment="1" applyProtection="1">
      <alignment horizontal="center" vertical="center"/>
      <protection hidden="1"/>
    </xf>
    <xf numFmtId="171" fontId="64" fillId="54" borderId="0" xfId="1" applyNumberFormat="1" applyFont="1" applyFill="1" applyBorder="1" applyAlignment="1" applyProtection="1">
      <alignment horizontal="center" vertical="center"/>
      <protection hidden="1"/>
    </xf>
    <xf numFmtId="173" fontId="64" fillId="54" borderId="0" xfId="0" applyNumberFormat="1" applyFont="1" applyFill="1" applyAlignment="1" applyProtection="1">
      <alignment horizontal="right" vertical="top"/>
      <protection hidden="1"/>
    </xf>
    <xf numFmtId="0" fontId="6" fillId="54" borderId="82" xfId="0" applyFont="1" applyFill="1" applyBorder="1" applyAlignment="1" applyProtection="1">
      <alignment horizontal="left" vertical="top"/>
      <protection hidden="1"/>
    </xf>
    <xf numFmtId="171" fontId="64" fillId="54" borderId="83" xfId="1" applyNumberFormat="1" applyFont="1" applyFill="1" applyBorder="1" applyAlignment="1" applyProtection="1">
      <alignment horizontal="center" vertical="center"/>
      <protection hidden="1"/>
    </xf>
    <xf numFmtId="173" fontId="64" fillId="54" borderId="0" xfId="1" applyNumberFormat="1" applyFont="1" applyFill="1" applyBorder="1" applyAlignment="1" applyProtection="1">
      <alignment horizontal="center" vertical="center"/>
      <protection hidden="1"/>
    </xf>
    <xf numFmtId="171" fontId="4" fillId="54" borderId="0" xfId="1" applyNumberFormat="1" applyFont="1" applyFill="1" applyBorder="1" applyAlignment="1" applyProtection="1">
      <alignment horizontal="center" vertical="center"/>
      <protection hidden="1"/>
    </xf>
    <xf numFmtId="43" fontId="64" fillId="54" borderId="0" xfId="0" applyNumberFormat="1" applyFont="1" applyFill="1" applyAlignment="1" applyProtection="1">
      <alignment horizontal="right" vertical="top"/>
      <protection hidden="1"/>
    </xf>
    <xf numFmtId="43" fontId="64" fillId="54" borderId="0" xfId="1" applyFont="1" applyFill="1" applyBorder="1" applyAlignment="1" applyProtection="1">
      <alignment horizontal="center" vertical="center"/>
      <protection hidden="1"/>
    </xf>
    <xf numFmtId="171" fontId="6" fillId="54" borderId="107" xfId="1" applyNumberFormat="1" applyFont="1" applyFill="1" applyBorder="1" applyAlignment="1" applyProtection="1">
      <alignment horizontal="center" vertical="center"/>
      <protection hidden="1"/>
    </xf>
    <xf numFmtId="0" fontId="6" fillId="54" borderId="108" xfId="0" applyFont="1" applyFill="1" applyBorder="1" applyAlignment="1" applyProtection="1">
      <alignment horizontal="left" vertical="top"/>
      <protection hidden="1"/>
    </xf>
    <xf numFmtId="171" fontId="64" fillId="54" borderId="109" xfId="1" applyNumberFormat="1" applyFont="1" applyFill="1" applyBorder="1" applyAlignment="1" applyProtection="1">
      <alignment horizontal="center" vertical="center"/>
      <protection hidden="1"/>
    </xf>
    <xf numFmtId="173" fontId="64" fillId="54" borderId="110" xfId="1" applyNumberFormat="1" applyFont="1" applyFill="1" applyBorder="1" applyAlignment="1" applyProtection="1">
      <alignment horizontal="center" vertical="center"/>
      <protection hidden="1"/>
    </xf>
    <xf numFmtId="44" fontId="4" fillId="51" borderId="109" xfId="2" applyFont="1" applyFill="1" applyBorder="1" applyAlignment="1" applyProtection="1">
      <alignment horizontal="center" vertical="center"/>
      <protection hidden="1"/>
    </xf>
    <xf numFmtId="44" fontId="4" fillId="51" borderId="108" xfId="2" applyFont="1" applyFill="1" applyBorder="1" applyAlignment="1" applyProtection="1">
      <alignment horizontal="center" vertical="center"/>
      <protection hidden="1"/>
    </xf>
    <xf numFmtId="171" fontId="64" fillId="54" borderId="112" xfId="1" applyNumberFormat="1" applyFont="1" applyFill="1" applyBorder="1" applyAlignment="1" applyProtection="1">
      <alignment horizontal="center" vertical="center"/>
      <protection hidden="1"/>
    </xf>
    <xf numFmtId="171" fontId="64" fillId="54" borderId="113" xfId="1" applyNumberFormat="1" applyFont="1" applyFill="1" applyBorder="1" applyAlignment="1" applyProtection="1">
      <alignment horizontal="center" vertical="center"/>
      <protection hidden="1"/>
    </xf>
    <xf numFmtId="0" fontId="6" fillId="54" borderId="114" xfId="0" applyFont="1" applyFill="1" applyBorder="1" applyAlignment="1" applyProtection="1">
      <alignment horizontal="left" vertical="top"/>
      <protection hidden="1"/>
    </xf>
    <xf numFmtId="171" fontId="64" fillId="54" borderId="115" xfId="1" applyNumberFormat="1" applyFont="1" applyFill="1" applyBorder="1" applyAlignment="1" applyProtection="1">
      <alignment horizontal="center" vertical="center"/>
      <protection hidden="1"/>
    </xf>
    <xf numFmtId="173" fontId="64" fillId="54" borderId="116" xfId="1" applyNumberFormat="1" applyFont="1" applyFill="1" applyBorder="1" applyAlignment="1" applyProtection="1">
      <alignment horizontal="center" vertical="center"/>
      <protection hidden="1"/>
    </xf>
    <xf numFmtId="44" fontId="4" fillId="51" borderId="115" xfId="2" applyFont="1" applyFill="1" applyBorder="1" applyAlignment="1" applyProtection="1">
      <alignment horizontal="center" vertical="center"/>
      <protection hidden="1"/>
    </xf>
    <xf numFmtId="44" fontId="4" fillId="51" borderId="114" xfId="2" applyFont="1" applyFill="1" applyBorder="1" applyAlignment="1" applyProtection="1">
      <alignment horizontal="center" vertical="center"/>
      <protection hidden="1"/>
    </xf>
    <xf numFmtId="171" fontId="64" fillId="54" borderId="117" xfId="1" applyNumberFormat="1" applyFont="1" applyFill="1" applyBorder="1" applyAlignment="1" applyProtection="1">
      <alignment horizontal="center" vertical="center"/>
      <protection hidden="1"/>
    </xf>
    <xf numFmtId="0" fontId="8" fillId="57" borderId="106" xfId="0" applyFont="1" applyFill="1" applyBorder="1" applyAlignment="1" applyProtection="1">
      <alignment horizontal="center" vertical="center" wrapText="1"/>
      <protection hidden="1"/>
    </xf>
    <xf numFmtId="169" fontId="64" fillId="54" borderId="0" xfId="0" applyNumberFormat="1" applyFont="1" applyFill="1" applyAlignment="1" applyProtection="1">
      <alignment horizontal="right" vertical="top"/>
      <protection hidden="1"/>
    </xf>
    <xf numFmtId="0" fontId="64" fillId="54" borderId="83" xfId="0" applyFont="1" applyFill="1" applyBorder="1" applyAlignment="1" applyProtection="1">
      <alignment horizontal="right" vertical="top"/>
      <protection hidden="1"/>
    </xf>
    <xf numFmtId="0" fontId="37" fillId="54" borderId="0" xfId="0" applyFont="1" applyFill="1" applyAlignment="1" applyProtection="1">
      <alignment horizontal="left" vertical="top"/>
      <protection hidden="1"/>
    </xf>
    <xf numFmtId="44" fontId="64" fillId="54" borderId="0" xfId="2" applyFont="1" applyFill="1" applyBorder="1" applyAlignment="1" applyProtection="1">
      <alignment horizontal="right" vertical="top"/>
      <protection hidden="1"/>
    </xf>
    <xf numFmtId="44" fontId="58" fillId="54" borderId="0" xfId="2" applyFont="1" applyFill="1" applyBorder="1" applyAlignment="1" applyProtection="1">
      <alignment horizontal="right" vertical="center"/>
      <protection hidden="1"/>
    </xf>
    <xf numFmtId="44" fontId="4" fillId="54" borderId="0" xfId="0" applyNumberFormat="1" applyFont="1" applyFill="1" applyAlignment="1" applyProtection="1">
      <alignment horizontal="right" vertical="top"/>
      <protection hidden="1"/>
    </xf>
    <xf numFmtId="7" fontId="2" fillId="54" borderId="0" xfId="2" applyNumberFormat="1" applyFont="1" applyFill="1" applyBorder="1" applyAlignment="1" applyProtection="1">
      <alignment horizontal="center" vertical="center"/>
      <protection hidden="1"/>
    </xf>
    <xf numFmtId="44" fontId="37" fillId="54" borderId="0" xfId="2" applyFont="1" applyFill="1" applyBorder="1" applyAlignment="1" applyProtection="1">
      <alignment horizontal="center" vertical="center"/>
      <protection hidden="1"/>
    </xf>
    <xf numFmtId="0" fontId="6" fillId="54" borderId="0" xfId="0" applyFont="1" applyFill="1" applyAlignment="1" applyProtection="1">
      <alignment horizontal="left" vertical="top"/>
      <protection hidden="1"/>
    </xf>
    <xf numFmtId="7" fontId="6" fillId="54" borderId="0" xfId="2" applyNumberFormat="1" applyFont="1" applyFill="1" applyBorder="1" applyAlignment="1" applyProtection="1">
      <alignment horizontal="center" vertical="center"/>
      <protection hidden="1"/>
    </xf>
    <xf numFmtId="44" fontId="4" fillId="58" borderId="111" xfId="2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0" fillId="0" borderId="105" xfId="0" applyBorder="1" applyProtection="1">
      <protection hidden="1"/>
    </xf>
    <xf numFmtId="0" fontId="16" fillId="0" borderId="103" xfId="10" applyFont="1" applyBorder="1" applyProtection="1">
      <protection hidden="1"/>
    </xf>
    <xf numFmtId="4" fontId="16" fillId="46" borderId="103" xfId="10" applyNumberFormat="1" applyFont="1" applyFill="1" applyBorder="1" applyProtection="1">
      <protection hidden="1"/>
    </xf>
    <xf numFmtId="4" fontId="16" fillId="4" borderId="103" xfId="10" applyNumberFormat="1" applyFont="1" applyFill="1" applyBorder="1" applyProtection="1">
      <protection hidden="1"/>
    </xf>
    <xf numFmtId="44" fontId="16" fillId="5" borderId="103" xfId="2" applyFont="1" applyFill="1" applyBorder="1" applyProtection="1">
      <protection hidden="1"/>
    </xf>
    <xf numFmtId="0" fontId="16" fillId="6" borderId="103" xfId="10" applyFont="1" applyFill="1" applyBorder="1" applyProtection="1">
      <protection hidden="1"/>
    </xf>
    <xf numFmtId="0" fontId="10" fillId="0" borderId="103" xfId="10" applyBorder="1" applyProtection="1">
      <protection hidden="1"/>
    </xf>
    <xf numFmtId="0" fontId="10" fillId="0" borderId="103" xfId="0" applyFont="1" applyBorder="1" applyProtection="1">
      <protection hidden="1"/>
    </xf>
    <xf numFmtId="0" fontId="10" fillId="0" borderId="103" xfId="0" applyFont="1" applyBorder="1" applyAlignment="1" applyProtection="1">
      <alignment horizontal="center" vertical="center"/>
      <protection hidden="1"/>
    </xf>
    <xf numFmtId="0" fontId="16" fillId="0" borderId="0" xfId="10" applyFont="1" applyProtection="1">
      <protection hidden="1"/>
    </xf>
    <xf numFmtId="2" fontId="16" fillId="6" borderId="39" xfId="10" applyNumberFormat="1" applyFont="1" applyFill="1" applyBorder="1" applyProtection="1">
      <protection hidden="1"/>
    </xf>
    <xf numFmtId="2" fontId="16" fillId="6" borderId="40" xfId="10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4" fontId="16" fillId="4" borderId="0" xfId="10" applyNumberFormat="1" applyFont="1" applyFill="1" applyProtection="1">
      <protection hidden="1"/>
    </xf>
    <xf numFmtId="44" fontId="16" fillId="5" borderId="0" xfId="2" applyFont="1" applyFill="1" applyBorder="1" applyProtection="1">
      <protection hidden="1"/>
    </xf>
    <xf numFmtId="0" fontId="16" fillId="6" borderId="0" xfId="10" applyFont="1" applyFill="1" applyProtection="1">
      <protection hidden="1"/>
    </xf>
    <xf numFmtId="15" fontId="12" fillId="0" borderId="0" xfId="10" applyNumberFormat="1" applyFont="1" applyProtection="1">
      <protection hidden="1"/>
    </xf>
    <xf numFmtId="0" fontId="16" fillId="0" borderId="105" xfId="10" applyFont="1" applyBorder="1" applyProtection="1">
      <protection hidden="1"/>
    </xf>
    <xf numFmtId="0" fontId="17" fillId="0" borderId="105" xfId="0" applyFont="1" applyBorder="1" applyProtection="1">
      <protection hidden="1"/>
    </xf>
    <xf numFmtId="4" fontId="16" fillId="46" borderId="105" xfId="10" applyNumberFormat="1" applyFont="1" applyFill="1" applyBorder="1" applyProtection="1">
      <protection hidden="1"/>
    </xf>
    <xf numFmtId="4" fontId="16" fillId="4" borderId="105" xfId="10" applyNumberFormat="1" applyFont="1" applyFill="1" applyBorder="1" applyProtection="1">
      <protection hidden="1"/>
    </xf>
    <xf numFmtId="44" fontId="16" fillId="5" borderId="105" xfId="2" applyFont="1" applyFill="1" applyBorder="1" applyProtection="1">
      <protection hidden="1"/>
    </xf>
    <xf numFmtId="0" fontId="16" fillId="6" borderId="105" xfId="10" applyFont="1" applyFill="1" applyBorder="1" applyProtection="1">
      <protection hidden="1"/>
    </xf>
    <xf numFmtId="0" fontId="10" fillId="0" borderId="105" xfId="10" applyBorder="1" applyProtection="1">
      <protection hidden="1"/>
    </xf>
    <xf numFmtId="0" fontId="10" fillId="0" borderId="105" xfId="0" applyFont="1" applyBorder="1" applyProtection="1">
      <protection hidden="1"/>
    </xf>
    <xf numFmtId="0" fontId="46" fillId="0" borderId="105" xfId="0" applyFont="1" applyBorder="1" applyAlignment="1" applyProtection="1">
      <alignment horizontal="center"/>
      <protection hidden="1"/>
    </xf>
    <xf numFmtId="0" fontId="0" fillId="50" borderId="105" xfId="0" applyFill="1" applyBorder="1" applyProtection="1">
      <protection hidden="1"/>
    </xf>
    <xf numFmtId="0" fontId="16" fillId="0" borderId="123" xfId="10" applyFont="1" applyBorder="1" applyProtection="1">
      <protection hidden="1"/>
    </xf>
    <xf numFmtId="0" fontId="17" fillId="0" borderId="123" xfId="0" applyFont="1" applyBorder="1" applyProtection="1">
      <protection hidden="1"/>
    </xf>
    <xf numFmtId="0" fontId="0" fillId="0" borderId="123" xfId="0" applyBorder="1" applyProtection="1">
      <protection hidden="1"/>
    </xf>
    <xf numFmtId="4" fontId="16" fillId="46" borderId="123" xfId="10" applyNumberFormat="1" applyFont="1" applyFill="1" applyBorder="1" applyProtection="1">
      <protection hidden="1"/>
    </xf>
    <xf numFmtId="4" fontId="16" fillId="4" borderId="123" xfId="10" applyNumberFormat="1" applyFont="1" applyFill="1" applyBorder="1" applyProtection="1">
      <protection hidden="1"/>
    </xf>
    <xf numFmtId="44" fontId="16" fillId="5" borderId="123" xfId="2" applyFont="1" applyFill="1" applyBorder="1" applyProtection="1">
      <protection hidden="1"/>
    </xf>
    <xf numFmtId="0" fontId="16" fillId="6" borderId="123" xfId="10" applyFont="1" applyFill="1" applyBorder="1" applyProtection="1">
      <protection hidden="1"/>
    </xf>
    <xf numFmtId="0" fontId="10" fillId="0" borderId="123" xfId="10" applyBorder="1" applyProtection="1">
      <protection hidden="1"/>
    </xf>
    <xf numFmtId="15" fontId="12" fillId="0" borderId="123" xfId="10" applyNumberFormat="1" applyFont="1" applyBorder="1" applyProtection="1">
      <protection hidden="1"/>
    </xf>
    <xf numFmtId="0" fontId="10" fillId="0" borderId="123" xfId="0" applyFont="1" applyBorder="1" applyProtection="1">
      <protection hidden="1"/>
    </xf>
    <xf numFmtId="0" fontId="46" fillId="0" borderId="123" xfId="0" applyFont="1" applyBorder="1" applyAlignment="1" applyProtection="1">
      <alignment horizontal="center"/>
      <protection hidden="1"/>
    </xf>
    <xf numFmtId="0" fontId="47" fillId="0" borderId="100" xfId="0" applyFont="1" applyBorder="1" applyProtection="1">
      <protection hidden="1"/>
    </xf>
    <xf numFmtId="168" fontId="0" fillId="0" borderId="0" xfId="0" applyNumberFormat="1" applyProtection="1">
      <protection hidden="1"/>
    </xf>
    <xf numFmtId="0" fontId="16" fillId="2" borderId="0" xfId="10" applyFont="1" applyFill="1" applyProtection="1">
      <protection hidden="1"/>
    </xf>
    <xf numFmtId="0" fontId="47" fillId="0" borderId="124" xfId="0" applyFont="1" applyBorder="1" applyProtection="1">
      <protection hidden="1"/>
    </xf>
    <xf numFmtId="0" fontId="0" fillId="44" borderId="104" xfId="0" applyFill="1" applyBorder="1" applyAlignment="1" applyProtection="1">
      <alignment horizontal="center"/>
      <protection hidden="1"/>
    </xf>
    <xf numFmtId="0" fontId="0" fillId="0" borderId="104" xfId="0" applyBorder="1" applyAlignment="1" applyProtection="1">
      <alignment horizontal="right"/>
      <protection hidden="1"/>
    </xf>
    <xf numFmtId="0" fontId="0" fillId="0" borderId="87" xfId="0" applyBorder="1" applyProtection="1">
      <protection hidden="1"/>
    </xf>
    <xf numFmtId="0" fontId="47" fillId="0" borderId="0" xfId="0" applyFont="1" applyProtection="1">
      <protection hidden="1"/>
    </xf>
    <xf numFmtId="0" fontId="0" fillId="0" borderId="125" xfId="0" applyBorder="1" applyProtection="1">
      <protection hidden="1"/>
    </xf>
    <xf numFmtId="0" fontId="35" fillId="9" borderId="100" xfId="10" applyFont="1" applyFill="1" applyBorder="1" applyProtection="1">
      <protection hidden="1"/>
    </xf>
    <xf numFmtId="0" fontId="39" fillId="9" borderId="100" xfId="10" applyFont="1" applyFill="1" applyBorder="1" applyProtection="1">
      <protection hidden="1"/>
    </xf>
    <xf numFmtId="0" fontId="10" fillId="9" borderId="100" xfId="10" applyFill="1" applyBorder="1" applyProtection="1">
      <protection hidden="1"/>
    </xf>
    <xf numFmtId="0" fontId="0" fillId="9" borderId="100" xfId="0" applyFill="1" applyBorder="1" applyProtection="1">
      <protection hidden="1"/>
    </xf>
    <xf numFmtId="43" fontId="73" fillId="0" borderId="123" xfId="11" applyFont="1" applyFill="1" applyBorder="1" applyProtection="1">
      <protection hidden="1"/>
    </xf>
    <xf numFmtId="167" fontId="16" fillId="0" borderId="123" xfId="10" applyNumberFormat="1" applyFont="1" applyBorder="1" applyProtection="1">
      <protection hidden="1"/>
    </xf>
    <xf numFmtId="4" fontId="16" fillId="0" borderId="123" xfId="10" applyNumberFormat="1" applyFont="1" applyBorder="1" applyProtection="1">
      <protection hidden="1"/>
    </xf>
    <xf numFmtId="0" fontId="31" fillId="0" borderId="123" xfId="0" applyFont="1" applyBorder="1" applyProtection="1">
      <protection hidden="1"/>
    </xf>
    <xf numFmtId="15" fontId="16" fillId="0" borderId="123" xfId="10" applyNumberFormat="1" applyFont="1" applyBorder="1" applyProtection="1">
      <protection hidden="1"/>
    </xf>
    <xf numFmtId="43" fontId="40" fillId="0" borderId="123" xfId="11" applyFont="1" applyFill="1" applyBorder="1" applyProtection="1">
      <protection hidden="1"/>
    </xf>
    <xf numFmtId="0" fontId="40" fillId="0" borderId="123" xfId="10" applyFont="1" applyBorder="1" applyProtection="1">
      <protection hidden="1"/>
    </xf>
    <xf numFmtId="0" fontId="16" fillId="2" borderId="123" xfId="10" applyFont="1" applyFill="1" applyBorder="1" applyProtection="1">
      <protection hidden="1"/>
    </xf>
    <xf numFmtId="4" fontId="16" fillId="46" borderId="127" xfId="10" applyNumberFormat="1" applyFont="1" applyFill="1" applyBorder="1" applyProtection="1">
      <protection hidden="1"/>
    </xf>
    <xf numFmtId="0" fontId="0" fillId="0" borderId="0" xfId="0" applyAlignment="1">
      <alignment wrapText="1"/>
    </xf>
    <xf numFmtId="0" fontId="58" fillId="54" borderId="0" xfId="0" applyFont="1" applyFill="1" applyAlignment="1" applyProtection="1">
      <alignment horizontal="left" vertical="center"/>
      <protection hidden="1"/>
    </xf>
    <xf numFmtId="0" fontId="5" fillId="54" borderId="0" xfId="0" applyFont="1" applyFill="1" applyAlignment="1" applyProtection="1">
      <alignment vertical="center"/>
      <protection hidden="1"/>
    </xf>
    <xf numFmtId="0" fontId="74" fillId="54" borderId="0" xfId="0" applyFont="1" applyFill="1" applyAlignment="1" applyProtection="1">
      <alignment horizontal="right" vertical="top"/>
      <protection hidden="1"/>
    </xf>
    <xf numFmtId="173" fontId="64" fillId="54" borderId="129" xfId="1" applyNumberFormat="1" applyFont="1" applyFill="1" applyBorder="1" applyAlignment="1" applyProtection="1">
      <alignment horizontal="center" vertical="center"/>
      <protection hidden="1"/>
    </xf>
    <xf numFmtId="173" fontId="64" fillId="54" borderId="130" xfId="1" applyNumberFormat="1" applyFont="1" applyFill="1" applyBorder="1" applyAlignment="1" applyProtection="1">
      <alignment horizontal="center" vertical="center"/>
      <protection hidden="1"/>
    </xf>
    <xf numFmtId="44" fontId="58" fillId="54" borderId="0" xfId="2" applyFont="1" applyFill="1" applyBorder="1" applyAlignment="1" applyProtection="1">
      <alignment horizontal="center" vertical="center"/>
      <protection hidden="1"/>
    </xf>
    <xf numFmtId="0" fontId="75" fillId="54" borderId="0" xfId="0" applyFont="1" applyFill="1" applyAlignment="1" applyProtection="1">
      <alignment horizontal="center" vertical="center"/>
      <protection hidden="1"/>
    </xf>
    <xf numFmtId="173" fontId="64" fillId="54" borderId="87" xfId="1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top"/>
    </xf>
    <xf numFmtId="0" fontId="49" fillId="0" borderId="0" xfId="0" applyFont="1" applyAlignment="1">
      <alignment vertical="center"/>
    </xf>
    <xf numFmtId="0" fontId="0" fillId="0" borderId="18" xfId="0" applyBorder="1" applyProtection="1">
      <protection hidden="1"/>
    </xf>
    <xf numFmtId="0" fontId="0" fillId="0" borderId="100" xfId="0" applyBorder="1" applyProtection="1">
      <protection hidden="1"/>
    </xf>
    <xf numFmtId="43" fontId="16" fillId="7" borderId="123" xfId="11" applyFont="1" applyFill="1" applyBorder="1" applyProtection="1">
      <protection hidden="1"/>
    </xf>
    <xf numFmtId="0" fontId="31" fillId="3" borderId="104" xfId="0" applyFont="1" applyFill="1" applyBorder="1" applyProtection="1">
      <protection hidden="1"/>
    </xf>
    <xf numFmtId="0" fontId="31" fillId="3" borderId="103" xfId="0" applyFont="1" applyFill="1" applyBorder="1" applyAlignment="1" applyProtection="1">
      <alignment horizontal="center" vertical="center"/>
      <protection hidden="1"/>
    </xf>
    <xf numFmtId="0" fontId="50" fillId="0" borderId="100" xfId="0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 wrapText="1"/>
    </xf>
    <xf numFmtId="44" fontId="64" fillId="0" borderId="0" xfId="2" applyFont="1" applyFill="1" applyBorder="1" applyAlignment="1" applyProtection="1">
      <alignment horizontal="center" vertical="center"/>
      <protection hidden="1"/>
    </xf>
    <xf numFmtId="0" fontId="81" fillId="0" borderId="81" xfId="0" applyFont="1" applyBorder="1" applyProtection="1">
      <protection hidden="1"/>
    </xf>
    <xf numFmtId="44" fontId="5" fillId="0" borderId="0" xfId="2" applyFont="1" applyBorder="1" applyProtection="1">
      <protection hidden="1"/>
    </xf>
    <xf numFmtId="0" fontId="18" fillId="48" borderId="70" xfId="0" applyFont="1" applyFill="1" applyBorder="1" applyAlignment="1" applyProtection="1">
      <alignment horizontal="left"/>
      <protection hidden="1"/>
    </xf>
    <xf numFmtId="43" fontId="20" fillId="0" borderId="70" xfId="1" applyFont="1" applyFill="1" applyBorder="1" applyAlignment="1" applyProtection="1">
      <alignment horizontal="right"/>
      <protection hidden="1"/>
    </xf>
    <xf numFmtId="43" fontId="62" fillId="2" borderId="70" xfId="1" applyFont="1" applyFill="1" applyBorder="1" applyAlignment="1" applyProtection="1">
      <alignment horizontal="right" vertical="center"/>
      <protection hidden="1"/>
    </xf>
    <xf numFmtId="44" fontId="62" fillId="2" borderId="70" xfId="2" applyFont="1" applyFill="1" applyBorder="1" applyAlignment="1" applyProtection="1">
      <alignment horizontal="center" vertical="center"/>
      <protection hidden="1"/>
    </xf>
    <xf numFmtId="43" fontId="62" fillId="2" borderId="70" xfId="1" applyFont="1" applyFill="1" applyBorder="1" applyAlignment="1" applyProtection="1">
      <alignment horizontal="center" vertical="center"/>
      <protection hidden="1"/>
    </xf>
    <xf numFmtId="170" fontId="62" fillId="2" borderId="70" xfId="2" applyNumberFormat="1" applyFont="1" applyFill="1" applyBorder="1" applyAlignment="1" applyProtection="1">
      <alignment horizontal="center" vertical="center"/>
      <protection hidden="1"/>
    </xf>
    <xf numFmtId="44" fontId="64" fillId="2" borderId="70" xfId="2" applyFont="1" applyFill="1" applyBorder="1" applyAlignment="1" applyProtection="1">
      <alignment horizontal="center" vertical="center"/>
      <protection hidden="1"/>
    </xf>
    <xf numFmtId="0" fontId="37" fillId="53" borderId="129" xfId="0" applyFont="1" applyFill="1" applyBorder="1" applyAlignment="1" applyProtection="1">
      <alignment horizontal="center" vertical="center" wrapText="1"/>
      <protection hidden="1"/>
    </xf>
    <xf numFmtId="0" fontId="0" fillId="0" borderId="80" xfId="0" applyBorder="1" applyAlignment="1">
      <alignment horizontal="left"/>
    </xf>
    <xf numFmtId="0" fontId="20" fillId="0" borderId="80" xfId="0" applyFont="1" applyBorder="1" applyAlignment="1" applyProtection="1">
      <alignment horizontal="center"/>
      <protection hidden="1"/>
    </xf>
    <xf numFmtId="0" fontId="37" fillId="49" borderId="129" xfId="0" applyFont="1" applyFill="1" applyBorder="1" applyAlignment="1" applyProtection="1">
      <alignment horizontal="center" vertical="center" wrapText="1"/>
      <protection hidden="1"/>
    </xf>
    <xf numFmtId="0" fontId="57" fillId="0" borderId="89" xfId="0" applyFont="1" applyBorder="1" applyAlignment="1" applyProtection="1">
      <alignment horizontal="center"/>
      <protection hidden="1"/>
    </xf>
    <xf numFmtId="0" fontId="0" fillId="0" borderId="89" xfId="0" applyBorder="1" applyAlignment="1">
      <alignment horizontal="left"/>
    </xf>
    <xf numFmtId="4" fontId="20" fillId="0" borderId="70" xfId="0" applyNumberFormat="1" applyFont="1" applyBorder="1" applyAlignment="1" applyProtection="1">
      <alignment horizontal="center" vertical="center"/>
      <protection hidden="1"/>
    </xf>
    <xf numFmtId="165" fontId="67" fillId="0" borderId="87" xfId="1" applyNumberFormat="1" applyFont="1" applyFill="1" applyBorder="1" applyAlignment="1" applyProtection="1">
      <alignment horizontal="left"/>
      <protection hidden="1"/>
    </xf>
    <xf numFmtId="0" fontId="0" fillId="0" borderId="88" xfId="0" applyBorder="1"/>
    <xf numFmtId="0" fontId="0" fillId="0" borderId="89" xfId="0" applyBorder="1"/>
    <xf numFmtId="165" fontId="60" fillId="0" borderId="88" xfId="1" applyNumberFormat="1" applyFont="1" applyFill="1" applyBorder="1" applyAlignment="1" applyProtection="1">
      <alignment horizontal="right" vertical="center"/>
      <protection hidden="1"/>
    </xf>
    <xf numFmtId="44" fontId="19" fillId="0" borderId="88" xfId="2" applyFont="1" applyFill="1" applyBorder="1" applyAlignment="1" applyProtection="1">
      <protection hidden="1"/>
    </xf>
    <xf numFmtId="165" fontId="20" fillId="0" borderId="88" xfId="1" applyNumberFormat="1" applyFont="1" applyFill="1" applyBorder="1" applyAlignment="1" applyProtection="1">
      <alignment horizontal="center" vertical="center"/>
      <protection hidden="1"/>
    </xf>
    <xf numFmtId="44" fontId="20" fillId="0" borderId="70" xfId="2" applyFont="1" applyFill="1" applyBorder="1" applyAlignment="1" applyProtection="1">
      <alignment horizontal="center" vertical="center"/>
      <protection hidden="1"/>
    </xf>
    <xf numFmtId="0" fontId="0" fillId="0" borderId="89" xfId="0" applyBorder="1" applyAlignment="1" applyProtection="1">
      <alignment horizontal="left"/>
      <protection hidden="1"/>
    </xf>
    <xf numFmtId="0" fontId="5" fillId="0" borderId="70" xfId="0" applyFont="1" applyBorder="1" applyAlignment="1" applyProtection="1">
      <alignment horizontal="center" vertical="center"/>
      <protection hidden="1"/>
    </xf>
    <xf numFmtId="44" fontId="5" fillId="0" borderId="70" xfId="2" applyFont="1" applyBorder="1" applyProtection="1">
      <protection hidden="1"/>
    </xf>
    <xf numFmtId="1" fontId="6" fillId="54" borderId="0" xfId="1" applyNumberFormat="1" applyFont="1" applyFill="1" applyBorder="1" applyAlignment="1" applyProtection="1">
      <alignment horizontal="center" vertical="center"/>
      <protection hidden="1"/>
    </xf>
    <xf numFmtId="0" fontId="64" fillId="54" borderId="0" xfId="0" applyFont="1" applyFill="1" applyProtection="1">
      <protection hidden="1"/>
    </xf>
    <xf numFmtId="44" fontId="64" fillId="0" borderId="91" xfId="2" applyFont="1" applyFill="1" applyBorder="1" applyAlignment="1" applyProtection="1">
      <alignment horizontal="center" vertical="center"/>
      <protection hidden="1"/>
    </xf>
    <xf numFmtId="0" fontId="0" fillId="0" borderId="131" xfId="0" applyBorder="1"/>
    <xf numFmtId="0" fontId="0" fillId="0" borderId="132" xfId="0" applyBorder="1" applyAlignment="1">
      <alignment horizontal="left"/>
    </xf>
    <xf numFmtId="0" fontId="0" fillId="0" borderId="132" xfId="0" applyBorder="1"/>
    <xf numFmtId="0" fontId="0" fillId="0" borderId="133" xfId="0" applyBorder="1"/>
    <xf numFmtId="0" fontId="0" fillId="0" borderId="134" xfId="0" applyBorder="1" applyAlignment="1">
      <alignment horizontal="left"/>
    </xf>
    <xf numFmtId="0" fontId="0" fillId="0" borderId="135" xfId="0" applyBorder="1"/>
    <xf numFmtId="0" fontId="6" fillId="0" borderId="134" xfId="0" applyFont="1" applyBorder="1" applyAlignment="1" applyProtection="1">
      <alignment horizontal="left" vertical="top"/>
      <protection hidden="1"/>
    </xf>
    <xf numFmtId="0" fontId="0" fillId="0" borderId="135" xfId="0" applyBorder="1" applyAlignment="1">
      <alignment horizontal="left"/>
    </xf>
    <xf numFmtId="0" fontId="0" fillId="0" borderId="134" xfId="0" applyBorder="1" applyAlignment="1" applyProtection="1">
      <alignment horizontal="center" vertical="center"/>
      <protection hidden="1"/>
    </xf>
    <xf numFmtId="0" fontId="45" fillId="53" borderId="134" xfId="0" applyFont="1" applyFill="1" applyBorder="1" applyProtection="1">
      <protection hidden="1"/>
    </xf>
    <xf numFmtId="0" fontId="37" fillId="53" borderId="136" xfId="0" applyFont="1" applyFill="1" applyBorder="1" applyAlignment="1" applyProtection="1">
      <alignment horizontal="center" vertical="center" wrapText="1"/>
      <protection hidden="1"/>
    </xf>
    <xf numFmtId="0" fontId="56" fillId="0" borderId="135" xfId="0" applyFont="1" applyBorder="1" applyAlignment="1">
      <alignment vertical="center"/>
    </xf>
    <xf numFmtId="0" fontId="7" fillId="0" borderId="137" xfId="0" applyFont="1" applyBorder="1" applyAlignment="1" applyProtection="1">
      <alignment horizontal="left"/>
      <protection hidden="1"/>
    </xf>
    <xf numFmtId="44" fontId="19" fillId="0" borderId="135" xfId="2" applyFont="1" applyFill="1" applyBorder="1" applyProtection="1">
      <protection hidden="1"/>
    </xf>
    <xf numFmtId="0" fontId="0" fillId="0" borderId="134" xfId="0" applyBorder="1" applyProtection="1">
      <protection hidden="1"/>
    </xf>
    <xf numFmtId="0" fontId="0" fillId="0" borderId="134" xfId="0" applyBorder="1"/>
    <xf numFmtId="0" fontId="65" fillId="0" borderId="134" xfId="0" applyFont="1" applyBorder="1"/>
    <xf numFmtId="0" fontId="66" fillId="48" borderId="140" xfId="0" applyFont="1" applyFill="1" applyBorder="1" applyAlignment="1" applyProtection="1">
      <alignment horizontal="left"/>
      <protection hidden="1"/>
    </xf>
    <xf numFmtId="0" fontId="0" fillId="0" borderId="124" xfId="0" applyBorder="1"/>
    <xf numFmtId="0" fontId="0" fillId="0" borderId="141" xfId="0" applyBorder="1" applyAlignment="1">
      <alignment horizontal="left"/>
    </xf>
    <xf numFmtId="0" fontId="0" fillId="0" borderId="141" xfId="0" applyBorder="1"/>
    <xf numFmtId="44" fontId="19" fillId="0" borderId="125" xfId="2" applyFont="1" applyFill="1" applyBorder="1" applyProtection="1">
      <protection hidden="1"/>
    </xf>
    <xf numFmtId="0" fontId="41" fillId="61" borderId="0" xfId="0" applyFont="1" applyFill="1"/>
    <xf numFmtId="0" fontId="6" fillId="61" borderId="0" xfId="0" applyFont="1" applyFill="1" applyAlignment="1" applyProtection="1">
      <alignment horizontal="right"/>
      <protection hidden="1"/>
    </xf>
    <xf numFmtId="0" fontId="34" fillId="61" borderId="0" xfId="0" applyFont="1" applyFill="1"/>
    <xf numFmtId="0" fontId="41" fillId="61" borderId="0" xfId="0" applyFont="1" applyFill="1" applyAlignment="1">
      <alignment horizontal="left" vertical="center"/>
    </xf>
    <xf numFmtId="0" fontId="6" fillId="61" borderId="0" xfId="0" applyFont="1" applyFill="1" applyAlignment="1" applyProtection="1">
      <alignment horizontal="center" vertical="center"/>
      <protection hidden="1"/>
    </xf>
    <xf numFmtId="0" fontId="6" fillId="61" borderId="0" xfId="0" applyFont="1" applyFill="1" applyAlignment="1" applyProtection="1">
      <alignment horizontal="left" vertical="center"/>
      <protection hidden="1"/>
    </xf>
    <xf numFmtId="0" fontId="37" fillId="61" borderId="0" xfId="0" applyFont="1" applyFill="1" applyAlignment="1">
      <alignment horizontal="left" vertical="center"/>
    </xf>
    <xf numFmtId="0" fontId="93" fillId="61" borderId="0" xfId="0" applyFont="1" applyFill="1"/>
    <xf numFmtId="173" fontId="68" fillId="2" borderId="72" xfId="0" applyNumberFormat="1" applyFont="1" applyFill="1" applyBorder="1" applyAlignment="1" applyProtection="1">
      <alignment horizontal="center" vertical="center"/>
      <protection hidden="1"/>
    </xf>
    <xf numFmtId="0" fontId="8" fillId="62" borderId="0" xfId="0" applyFont="1" applyFill="1" applyAlignment="1">
      <alignment horizontal="center" vertical="top"/>
    </xf>
    <xf numFmtId="4" fontId="64" fillId="0" borderId="70" xfId="1" applyNumberFormat="1" applyFont="1" applyFill="1" applyBorder="1" applyAlignment="1" applyProtection="1">
      <protection hidden="1"/>
    </xf>
    <xf numFmtId="0" fontId="8" fillId="65" borderId="118" xfId="0" applyFont="1" applyFill="1" applyBorder="1" applyAlignment="1" applyProtection="1">
      <alignment horizontal="center" vertical="center"/>
      <protection hidden="1"/>
    </xf>
    <xf numFmtId="0" fontId="8" fillId="65" borderId="121" xfId="0" applyFont="1" applyFill="1" applyBorder="1" applyAlignment="1" applyProtection="1">
      <alignment horizontal="center" vertical="center" wrapText="1"/>
      <protection hidden="1"/>
    </xf>
    <xf numFmtId="0" fontId="8" fillId="65" borderId="122" xfId="0" applyFont="1" applyFill="1" applyBorder="1" applyAlignment="1" applyProtection="1">
      <alignment horizontal="center" vertical="center" wrapText="1"/>
      <protection hidden="1"/>
    </xf>
    <xf numFmtId="0" fontId="8" fillId="66" borderId="106" xfId="0" applyFont="1" applyFill="1" applyBorder="1" applyAlignment="1" applyProtection="1">
      <alignment horizontal="center" vertical="center" wrapText="1"/>
      <protection hidden="1"/>
    </xf>
    <xf numFmtId="0" fontId="8" fillId="65" borderId="118" xfId="0" applyFont="1" applyFill="1" applyBorder="1" applyAlignment="1" applyProtection="1">
      <alignment horizontal="center" vertical="center" wrapText="1"/>
      <protection hidden="1"/>
    </xf>
    <xf numFmtId="44" fontId="34" fillId="68" borderId="153" xfId="2" applyFont="1" applyFill="1" applyBorder="1" applyAlignment="1" applyProtection="1">
      <alignment horizontal="center" vertical="center"/>
      <protection hidden="1"/>
    </xf>
    <xf numFmtId="44" fontId="0" fillId="0" borderId="0" xfId="0" applyNumberFormat="1"/>
    <xf numFmtId="44" fontId="4" fillId="58" borderId="156" xfId="2" applyFont="1" applyFill="1" applyBorder="1" applyAlignment="1" applyProtection="1">
      <alignment horizontal="center" vertical="center"/>
      <protection hidden="1"/>
    </xf>
    <xf numFmtId="169" fontId="6" fillId="54" borderId="107" xfId="0" applyNumberFormat="1" applyFont="1" applyFill="1" applyBorder="1" applyAlignment="1" applyProtection="1">
      <alignment horizontal="center" vertical="top"/>
      <protection hidden="1"/>
    </xf>
    <xf numFmtId="169" fontId="64" fillId="54" borderId="112" xfId="0" applyNumberFormat="1" applyFont="1" applyFill="1" applyBorder="1" applyAlignment="1" applyProtection="1">
      <alignment horizontal="right" vertical="top"/>
      <protection hidden="1"/>
    </xf>
    <xf numFmtId="169" fontId="64" fillId="54" borderId="113" xfId="0" applyNumberFormat="1" applyFont="1" applyFill="1" applyBorder="1" applyAlignment="1" applyProtection="1">
      <alignment horizontal="right" vertical="top"/>
      <protection hidden="1"/>
    </xf>
    <xf numFmtId="0" fontId="37" fillId="54" borderId="157" xfId="0" applyFont="1" applyFill="1" applyBorder="1" applyAlignment="1" applyProtection="1">
      <alignment horizontal="left" vertical="top"/>
      <protection hidden="1"/>
    </xf>
    <xf numFmtId="0" fontId="64" fillId="54" borderId="109" xfId="0" applyFont="1" applyFill="1" applyBorder="1" applyAlignment="1" applyProtection="1">
      <alignment horizontal="right" vertical="top"/>
      <protection hidden="1"/>
    </xf>
    <xf numFmtId="173" fontId="64" fillId="54" borderId="158" xfId="1" applyNumberFormat="1" applyFont="1" applyFill="1" applyBorder="1" applyAlignment="1" applyProtection="1">
      <alignment horizontal="center" vertical="center"/>
      <protection hidden="1"/>
    </xf>
    <xf numFmtId="0" fontId="37" fillId="54" borderId="159" xfId="0" applyFont="1" applyFill="1" applyBorder="1" applyAlignment="1" applyProtection="1">
      <alignment horizontal="left" vertical="top"/>
      <protection hidden="1"/>
    </xf>
    <xf numFmtId="173" fontId="64" fillId="54" borderId="160" xfId="1" applyNumberFormat="1" applyFont="1" applyFill="1" applyBorder="1" applyAlignment="1" applyProtection="1">
      <alignment horizontal="center" vertical="center"/>
      <protection hidden="1"/>
    </xf>
    <xf numFmtId="0" fontId="37" fillId="54" borderId="161" xfId="0" applyFont="1" applyFill="1" applyBorder="1" applyAlignment="1" applyProtection="1">
      <alignment horizontal="left" vertical="top"/>
      <protection hidden="1"/>
    </xf>
    <xf numFmtId="0" fontId="64" fillId="54" borderId="115" xfId="0" applyFont="1" applyFill="1" applyBorder="1" applyAlignment="1" applyProtection="1">
      <alignment horizontal="right" vertical="top"/>
      <protection hidden="1"/>
    </xf>
    <xf numFmtId="173" fontId="64" fillId="54" borderId="162" xfId="1" applyNumberFormat="1" applyFont="1" applyFill="1" applyBorder="1" applyAlignment="1" applyProtection="1">
      <alignment horizontal="center" vertical="center"/>
      <protection hidden="1"/>
    </xf>
    <xf numFmtId="0" fontId="64" fillId="54" borderId="117" xfId="0" applyFont="1" applyFill="1" applyBorder="1" applyAlignment="1" applyProtection="1">
      <alignment horizontal="right" vertical="top"/>
      <protection hidden="1"/>
    </xf>
    <xf numFmtId="0" fontId="64" fillId="54" borderId="126" xfId="0" applyFont="1" applyFill="1" applyBorder="1" applyAlignment="1" applyProtection="1">
      <alignment horizontal="right" vertical="top"/>
      <protection hidden="1"/>
    </xf>
    <xf numFmtId="0" fontId="6" fillId="54" borderId="164" xfId="0" applyFont="1" applyFill="1" applyBorder="1" applyAlignment="1" applyProtection="1">
      <alignment horizontal="left" vertical="top"/>
      <protection hidden="1"/>
    </xf>
    <xf numFmtId="0" fontId="6" fillId="54" borderId="165" xfId="0" applyFont="1" applyFill="1" applyBorder="1" applyAlignment="1" applyProtection="1">
      <alignment horizontal="left" vertical="top"/>
      <protection hidden="1"/>
    </xf>
    <xf numFmtId="173" fontId="64" fillId="54" borderId="167" xfId="1" applyNumberFormat="1" applyFont="1" applyFill="1" applyBorder="1" applyAlignment="1" applyProtection="1">
      <alignment horizontal="center" vertical="center"/>
      <protection hidden="1"/>
    </xf>
    <xf numFmtId="173" fontId="64" fillId="54" borderId="168" xfId="1" applyNumberFormat="1" applyFont="1" applyFill="1" applyBorder="1" applyAlignment="1" applyProtection="1">
      <alignment horizontal="center" vertical="center"/>
      <protection hidden="1"/>
    </xf>
    <xf numFmtId="0" fontId="64" fillId="54" borderId="143" xfId="0" applyFont="1" applyFill="1" applyBorder="1" applyAlignment="1" applyProtection="1">
      <alignment horizontal="left" vertical="top"/>
      <protection hidden="1"/>
    </xf>
    <xf numFmtId="0" fontId="64" fillId="54" borderId="150" xfId="0" applyFont="1" applyFill="1" applyBorder="1" applyAlignment="1" applyProtection="1">
      <alignment vertical="center"/>
      <protection hidden="1"/>
    </xf>
    <xf numFmtId="0" fontId="31" fillId="61" borderId="0" xfId="0" applyFont="1" applyFill="1"/>
    <xf numFmtId="0" fontId="6" fillId="61" borderId="0" xfId="0" applyFont="1" applyFill="1" applyAlignment="1">
      <alignment vertical="top"/>
    </xf>
    <xf numFmtId="44" fontId="4" fillId="51" borderId="175" xfId="2" applyFont="1" applyFill="1" applyBorder="1" applyAlignment="1" applyProtection="1">
      <alignment horizontal="center" vertical="center"/>
      <protection hidden="1"/>
    </xf>
    <xf numFmtId="44" fontId="4" fillId="51" borderId="176" xfId="2" applyFont="1" applyFill="1" applyBorder="1" applyAlignment="1" applyProtection="1">
      <alignment horizontal="center" vertical="center"/>
      <protection hidden="1"/>
    </xf>
    <xf numFmtId="44" fontId="37" fillId="54" borderId="183" xfId="2" applyFont="1" applyFill="1" applyBorder="1" applyAlignment="1" applyProtection="1">
      <alignment horizontal="center" vertical="center"/>
      <protection hidden="1"/>
    </xf>
    <xf numFmtId="44" fontId="37" fillId="54" borderId="185" xfId="2" applyFont="1" applyFill="1" applyBorder="1" applyAlignment="1" applyProtection="1">
      <alignment horizontal="center" vertical="center"/>
      <protection hidden="1"/>
    </xf>
    <xf numFmtId="44" fontId="37" fillId="54" borderId="186" xfId="2" applyFont="1" applyFill="1" applyBorder="1" applyAlignment="1" applyProtection="1">
      <alignment horizontal="center" vertical="center"/>
      <protection hidden="1"/>
    </xf>
    <xf numFmtId="0" fontId="2" fillId="70" borderId="70" xfId="0" applyFont="1" applyFill="1" applyBorder="1" applyProtection="1">
      <protection hidden="1"/>
    </xf>
    <xf numFmtId="0" fontId="72" fillId="69" borderId="70" xfId="0" applyFont="1" applyFill="1" applyBorder="1" applyAlignment="1" applyProtection="1">
      <alignment horizontal="center" vertical="top"/>
      <protection locked="0"/>
    </xf>
    <xf numFmtId="0" fontId="8" fillId="72" borderId="0" xfId="0" applyFont="1" applyFill="1" applyAlignment="1" applyProtection="1">
      <alignment horizontal="center" vertical="top"/>
      <protection hidden="1"/>
    </xf>
    <xf numFmtId="43" fontId="16" fillId="74" borderId="73" xfId="11" applyFont="1" applyFill="1" applyBorder="1" applyProtection="1">
      <protection hidden="1"/>
    </xf>
    <xf numFmtId="43" fontId="16" fillId="74" borderId="98" xfId="11" applyFont="1" applyFill="1" applyBorder="1" applyProtection="1">
      <protection hidden="1"/>
    </xf>
    <xf numFmtId="43" fontId="16" fillId="74" borderId="103" xfId="11" applyFont="1" applyFill="1" applyBorder="1" applyProtection="1">
      <protection hidden="1"/>
    </xf>
    <xf numFmtId="43" fontId="16" fillId="74" borderId="105" xfId="11" applyFont="1" applyFill="1" applyBorder="1" applyProtection="1">
      <protection hidden="1"/>
    </xf>
    <xf numFmtId="15" fontId="12" fillId="74" borderId="73" xfId="10" applyNumberFormat="1" applyFont="1" applyFill="1" applyBorder="1" applyProtection="1">
      <protection hidden="1"/>
    </xf>
    <xf numFmtId="0" fontId="0" fillId="74" borderId="73" xfId="0" applyFill="1" applyBorder="1" applyProtection="1">
      <protection hidden="1"/>
    </xf>
    <xf numFmtId="0" fontId="0" fillId="2" borderId="73" xfId="0" applyFill="1" applyBorder="1" applyProtection="1">
      <protection hidden="1"/>
    </xf>
    <xf numFmtId="0" fontId="0" fillId="2" borderId="48" xfId="0" applyFill="1" applyBorder="1" applyProtection="1">
      <protection hidden="1"/>
    </xf>
    <xf numFmtId="0" fontId="0" fillId="2" borderId="123" xfId="0" applyFill="1" applyBorder="1" applyProtection="1">
      <protection hidden="1"/>
    </xf>
    <xf numFmtId="43" fontId="16" fillId="2" borderId="73" xfId="11" applyFont="1" applyFill="1" applyBorder="1" applyProtection="1">
      <protection hidden="1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43" fontId="16" fillId="75" borderId="73" xfId="11" applyFont="1" applyFill="1" applyBorder="1" applyProtection="1">
      <protection hidden="1"/>
    </xf>
    <xf numFmtId="43" fontId="16" fillId="75" borderId="123" xfId="11" applyFont="1" applyFill="1" applyBorder="1" applyProtection="1">
      <protection hidden="1"/>
    </xf>
    <xf numFmtId="0" fontId="0" fillId="0" borderId="190" xfId="0" applyBorder="1" applyAlignment="1" applyProtection="1">
      <alignment wrapText="1"/>
      <protection hidden="1"/>
    </xf>
    <xf numFmtId="15" fontId="54" fillId="5" borderId="42" xfId="10" applyNumberFormat="1" applyFont="1" applyFill="1" applyBorder="1" applyProtection="1">
      <protection hidden="1"/>
    </xf>
    <xf numFmtId="0" fontId="14" fillId="2" borderId="54" xfId="10" applyFont="1" applyFill="1" applyBorder="1" applyAlignment="1" applyProtection="1">
      <alignment horizontal="center"/>
      <protection hidden="1"/>
    </xf>
    <xf numFmtId="0" fontId="14" fillId="2" borderId="12" xfId="10" applyFont="1" applyFill="1" applyBorder="1" applyAlignment="1" applyProtection="1">
      <alignment horizontal="center"/>
      <protection hidden="1"/>
    </xf>
    <xf numFmtId="0" fontId="14" fillId="2" borderId="55" xfId="10" applyFont="1" applyFill="1" applyBorder="1" applyAlignment="1" applyProtection="1">
      <alignment horizontal="center"/>
      <protection hidden="1"/>
    </xf>
    <xf numFmtId="15" fontId="12" fillId="75" borderId="73" xfId="10" applyNumberFormat="1" applyFont="1" applyFill="1" applyBorder="1" applyProtection="1">
      <protection hidden="1"/>
    </xf>
    <xf numFmtId="15" fontId="12" fillId="75" borderId="39" xfId="10" applyNumberFormat="1" applyFont="1" applyFill="1" applyBorder="1" applyProtection="1">
      <protection hidden="1"/>
    </xf>
    <xf numFmtId="0" fontId="48" fillId="0" borderId="123" xfId="10" applyFont="1" applyBorder="1" applyProtection="1">
      <protection hidden="1"/>
    </xf>
    <xf numFmtId="0" fontId="95" fillId="0" borderId="0" xfId="0" applyFont="1" applyAlignment="1" applyProtection="1">
      <alignment horizontal="right"/>
      <protection hidden="1"/>
    </xf>
    <xf numFmtId="0" fontId="95" fillId="0" borderId="0" xfId="0" quotePrefix="1" applyFont="1" applyProtection="1">
      <protection hidden="1"/>
    </xf>
    <xf numFmtId="0" fontId="96" fillId="0" borderId="0" xfId="0" applyFont="1" applyAlignment="1">
      <alignment vertical="center"/>
    </xf>
    <xf numFmtId="44" fontId="19" fillId="0" borderId="0" xfId="2" applyFont="1" applyFill="1" applyBorder="1" applyProtection="1">
      <protection hidden="1"/>
    </xf>
    <xf numFmtId="0" fontId="0" fillId="0" borderId="0" xfId="0" applyAlignment="1">
      <alignment horizontal="center" vertical="center"/>
    </xf>
    <xf numFmtId="0" fontId="55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43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5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0" fillId="0" borderId="0" xfId="0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43" fillId="0" borderId="0" xfId="0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164" fontId="43" fillId="0" borderId="0" xfId="0" applyNumberFormat="1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45" fillId="53" borderId="0" xfId="0" applyFont="1" applyFill="1" applyProtection="1">
      <protection hidden="1"/>
    </xf>
    <xf numFmtId="0" fontId="43" fillId="0" borderId="0" xfId="0" applyFont="1" applyAlignment="1" applyProtection="1">
      <alignment horizontal="left"/>
      <protection hidden="1"/>
    </xf>
    <xf numFmtId="0" fontId="44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18" fillId="48" borderId="0" xfId="0" applyFont="1" applyFill="1" applyAlignment="1" applyProtection="1">
      <alignment horizontal="left"/>
      <protection hidden="1"/>
    </xf>
    <xf numFmtId="172" fontId="20" fillId="0" borderId="0" xfId="0" applyNumberFormat="1" applyFont="1" applyAlignment="1" applyProtection="1">
      <alignment horizontal="center"/>
      <protection hidden="1"/>
    </xf>
    <xf numFmtId="166" fontId="62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0" fillId="0" borderId="96" xfId="0" applyBorder="1" applyAlignment="1" applyProtection="1">
      <alignment horizontal="left"/>
      <protection hidden="1"/>
    </xf>
    <xf numFmtId="0" fontId="5" fillId="0" borderId="80" xfId="0" applyFont="1" applyBorder="1" applyAlignment="1" applyProtection="1">
      <alignment horizontal="center" vertical="center"/>
      <protection hidden="1"/>
    </xf>
    <xf numFmtId="44" fontId="5" fillId="0" borderId="80" xfId="2" applyFont="1" applyBorder="1" applyProtection="1">
      <protection hidden="1"/>
    </xf>
    <xf numFmtId="0" fontId="18" fillId="48" borderId="194" xfId="0" applyFont="1" applyFill="1" applyBorder="1" applyAlignment="1" applyProtection="1">
      <alignment horizontal="left"/>
      <protection hidden="1"/>
    </xf>
    <xf numFmtId="0" fontId="18" fillId="48" borderId="140" xfId="0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135" xfId="0" applyBorder="1" applyProtection="1">
      <protection hidden="1"/>
    </xf>
    <xf numFmtId="0" fontId="6" fillId="0" borderId="134" xfId="0" applyFont="1" applyBorder="1" applyProtection="1">
      <protection hidden="1"/>
    </xf>
    <xf numFmtId="0" fontId="6" fillId="0" borderId="13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35" xfId="0" applyFont="1" applyBorder="1" applyAlignment="1">
      <alignment horizontal="center" vertical="center"/>
    </xf>
    <xf numFmtId="0" fontId="0" fillId="0" borderId="125" xfId="0" applyBorder="1"/>
    <xf numFmtId="0" fontId="0" fillId="5" borderId="0" xfId="0" applyFill="1"/>
    <xf numFmtId="0" fontId="8" fillId="69" borderId="70" xfId="0" applyFont="1" applyFill="1" applyBorder="1" applyAlignment="1" applyProtection="1">
      <alignment horizontal="center" vertical="top"/>
      <protection hidden="1"/>
    </xf>
    <xf numFmtId="0" fontId="0" fillId="8" borderId="0" xfId="0" applyFill="1"/>
    <xf numFmtId="43" fontId="16" fillId="76" borderId="73" xfId="11" applyFont="1" applyFill="1" applyBorder="1" applyProtection="1">
      <protection hidden="1"/>
    </xf>
    <xf numFmtId="0" fontId="0" fillId="62" borderId="0" xfId="0" applyFill="1"/>
    <xf numFmtId="3" fontId="68" fillId="2" borderId="72" xfId="1" applyNumberFormat="1" applyFont="1" applyFill="1" applyBorder="1" applyAlignment="1" applyProtection="1">
      <alignment horizontal="center" vertical="center"/>
      <protection hidden="1"/>
    </xf>
    <xf numFmtId="174" fontId="0" fillId="62" borderId="0" xfId="0" applyNumberFormat="1" applyFill="1"/>
    <xf numFmtId="174" fontId="8" fillId="62" borderId="0" xfId="0" applyNumberFormat="1" applyFont="1" applyFill="1" applyAlignment="1">
      <alignment horizontal="center" vertical="top"/>
    </xf>
    <xf numFmtId="0" fontId="5" fillId="61" borderId="0" xfId="0" applyFont="1" applyFill="1" applyAlignment="1">
      <alignment horizontal="left" vertical="top" textRotation="180"/>
    </xf>
    <xf numFmtId="0" fontId="4" fillId="67" borderId="0" xfId="0" applyFont="1" applyFill="1" applyAlignment="1">
      <alignment horizontal="left" vertical="top"/>
    </xf>
    <xf numFmtId="0" fontId="0" fillId="67" borderId="0" xfId="0" applyFill="1" applyAlignment="1">
      <alignment horizontal="left" vertical="top"/>
    </xf>
    <xf numFmtId="170" fontId="58" fillId="2" borderId="171" xfId="2" applyNumberFormat="1" applyFont="1" applyFill="1" applyBorder="1" applyAlignment="1" applyProtection="1">
      <alignment horizontal="center" vertical="center"/>
      <protection hidden="1"/>
    </xf>
    <xf numFmtId="170" fontId="58" fillId="2" borderId="172" xfId="2" applyNumberFormat="1" applyFont="1" applyFill="1" applyBorder="1" applyAlignment="1" applyProtection="1">
      <alignment horizontal="center" vertical="center"/>
      <protection hidden="1"/>
    </xf>
    <xf numFmtId="0" fontId="8" fillId="73" borderId="72" xfId="0" applyFont="1" applyFill="1" applyBorder="1" applyAlignment="1" applyProtection="1">
      <alignment horizontal="center" vertical="center" wrapText="1"/>
      <protection hidden="1"/>
    </xf>
    <xf numFmtId="0" fontId="0" fillId="73" borderId="0" xfId="0" applyFill="1" applyAlignment="1">
      <alignment wrapText="1"/>
    </xf>
    <xf numFmtId="0" fontId="0" fillId="73" borderId="71" xfId="0" applyFill="1" applyBorder="1" applyAlignment="1">
      <alignment wrapText="1"/>
    </xf>
    <xf numFmtId="43" fontId="64" fillId="54" borderId="79" xfId="1" applyFont="1" applyFill="1" applyBorder="1" applyAlignment="1" applyProtection="1">
      <alignment horizontal="center" vertical="center"/>
      <protection hidden="1"/>
    </xf>
    <xf numFmtId="43" fontId="5" fillId="54" borderId="79" xfId="0" applyNumberFormat="1" applyFont="1" applyFill="1" applyBorder="1" applyAlignment="1" applyProtection="1">
      <alignment horizontal="center" vertical="center"/>
      <protection hidden="1"/>
    </xf>
    <xf numFmtId="43" fontId="64" fillId="54" borderId="70" xfId="1" applyFont="1" applyFill="1" applyBorder="1" applyAlignment="1" applyProtection="1">
      <alignment horizontal="center" vertical="center"/>
      <protection hidden="1"/>
    </xf>
    <xf numFmtId="43" fontId="5" fillId="54" borderId="70" xfId="0" applyNumberFormat="1" applyFont="1" applyFill="1" applyBorder="1" applyAlignment="1" applyProtection="1">
      <alignment horizontal="center" vertical="center"/>
      <protection hidden="1"/>
    </xf>
    <xf numFmtId="170" fontId="58" fillId="68" borderId="173" xfId="2" applyNumberFormat="1" applyFont="1" applyFill="1" applyBorder="1" applyAlignment="1" applyProtection="1">
      <alignment horizontal="center" vertical="center"/>
      <protection hidden="1"/>
    </xf>
    <xf numFmtId="170" fontId="58" fillId="68" borderId="174" xfId="2" applyNumberFormat="1" applyFont="1" applyFill="1" applyBorder="1" applyAlignment="1" applyProtection="1">
      <alignment horizontal="center" vertical="center"/>
      <protection hidden="1"/>
    </xf>
    <xf numFmtId="0" fontId="58" fillId="54" borderId="180" xfId="0" applyFont="1" applyFill="1" applyBorder="1" applyAlignment="1" applyProtection="1">
      <alignment horizontal="left" vertical="center"/>
      <protection hidden="1"/>
    </xf>
    <xf numFmtId="0" fontId="5" fillId="54" borderId="181" xfId="0" applyFont="1" applyFill="1" applyBorder="1" applyAlignment="1" applyProtection="1">
      <alignment vertical="center"/>
      <protection hidden="1"/>
    </xf>
    <xf numFmtId="0" fontId="5" fillId="54" borderId="182" xfId="0" applyFont="1" applyFill="1" applyBorder="1" applyAlignment="1" applyProtection="1">
      <alignment vertical="center"/>
      <protection hidden="1"/>
    </xf>
    <xf numFmtId="0" fontId="58" fillId="54" borderId="184" xfId="0" applyFont="1" applyFill="1" applyBorder="1" applyAlignment="1" applyProtection="1">
      <alignment horizontal="left" vertical="center"/>
      <protection hidden="1"/>
    </xf>
    <xf numFmtId="0" fontId="5" fillId="54" borderId="95" xfId="0" applyFont="1" applyFill="1" applyBorder="1" applyAlignment="1" applyProtection="1">
      <alignment vertical="center"/>
      <protection hidden="1"/>
    </xf>
    <xf numFmtId="0" fontId="5" fillId="54" borderId="96" xfId="0" applyFont="1" applyFill="1" applyBorder="1" applyAlignment="1" applyProtection="1">
      <alignment vertical="center"/>
      <protection hidden="1"/>
    </xf>
    <xf numFmtId="0" fontId="58" fillId="54" borderId="144" xfId="0" applyFont="1" applyFill="1" applyBorder="1" applyAlignment="1" applyProtection="1">
      <alignment horizontal="left" vertical="center"/>
      <protection hidden="1"/>
    </xf>
    <xf numFmtId="0" fontId="5" fillId="54" borderId="145" xfId="0" applyFont="1" applyFill="1" applyBorder="1" applyAlignment="1" applyProtection="1">
      <alignment vertical="center"/>
      <protection hidden="1"/>
    </xf>
    <xf numFmtId="0" fontId="5" fillId="54" borderId="146" xfId="0" applyFont="1" applyFill="1" applyBorder="1" applyAlignment="1" applyProtection="1">
      <alignment vertical="center"/>
      <protection hidden="1"/>
    </xf>
    <xf numFmtId="44" fontId="64" fillId="2" borderId="82" xfId="2" applyFont="1" applyFill="1" applyBorder="1" applyAlignment="1" applyProtection="1">
      <alignment horizontal="center" vertical="center"/>
      <protection hidden="1"/>
    </xf>
    <xf numFmtId="0" fontId="5" fillId="2" borderId="83" xfId="0" applyFont="1" applyFill="1" applyBorder="1" applyAlignment="1" applyProtection="1">
      <alignment horizontal="center" vertical="center"/>
      <protection hidden="1"/>
    </xf>
    <xf numFmtId="0" fontId="58" fillId="54" borderId="0" xfId="0" applyFont="1" applyFill="1" applyAlignment="1" applyProtection="1">
      <alignment horizontal="left" vertical="center"/>
      <protection hidden="1"/>
    </xf>
    <xf numFmtId="0" fontId="5" fillId="54" borderId="0" xfId="0" applyFont="1" applyFill="1" applyAlignment="1" applyProtection="1">
      <alignment horizontal="left" vertical="center"/>
      <protection hidden="1"/>
    </xf>
    <xf numFmtId="44" fontId="64" fillId="2" borderId="114" xfId="2" applyFont="1" applyFill="1" applyBorder="1" applyAlignment="1" applyProtection="1">
      <alignment horizontal="center" vertical="center"/>
      <protection hidden="1"/>
    </xf>
    <xf numFmtId="0" fontId="5" fillId="2" borderId="115" xfId="0" applyFont="1" applyFill="1" applyBorder="1" applyAlignment="1" applyProtection="1">
      <alignment horizontal="center" vertical="center"/>
      <protection hidden="1"/>
    </xf>
    <xf numFmtId="0" fontId="58" fillId="54" borderId="0" xfId="0" applyFont="1" applyFill="1" applyAlignment="1" applyProtection="1">
      <alignment horizontal="right" vertical="top" wrapText="1"/>
      <protection hidden="1"/>
    </xf>
    <xf numFmtId="0" fontId="0" fillId="0" borderId="0" xfId="0" applyAlignment="1">
      <alignment horizontal="right" vertical="top" wrapText="1"/>
    </xf>
    <xf numFmtId="44" fontId="64" fillId="2" borderId="116" xfId="2" applyFont="1" applyFill="1" applyBorder="1" applyAlignment="1" applyProtection="1">
      <alignment horizontal="center" vertical="center"/>
      <protection hidden="1"/>
    </xf>
    <xf numFmtId="0" fontId="5" fillId="2" borderId="116" xfId="0" applyFont="1" applyFill="1" applyBorder="1" applyAlignment="1" applyProtection="1">
      <alignment horizontal="center" vertical="center"/>
      <protection hidden="1"/>
    </xf>
    <xf numFmtId="0" fontId="6" fillId="54" borderId="143" xfId="0" applyFont="1" applyFill="1" applyBorder="1" applyAlignment="1" applyProtection="1">
      <alignment vertical="center" wrapText="1"/>
      <protection hidden="1"/>
    </xf>
    <xf numFmtId="0" fontId="5" fillId="54" borderId="143" xfId="0" applyFont="1" applyFill="1" applyBorder="1" applyAlignment="1" applyProtection="1">
      <alignment wrapText="1"/>
      <protection hidden="1"/>
    </xf>
    <xf numFmtId="0" fontId="5" fillId="54" borderId="147" xfId="0" applyFont="1" applyFill="1" applyBorder="1" applyAlignment="1" applyProtection="1">
      <alignment wrapText="1"/>
      <protection hidden="1"/>
    </xf>
    <xf numFmtId="0" fontId="5" fillId="54" borderId="150" xfId="0" applyFont="1" applyFill="1" applyBorder="1" applyAlignment="1" applyProtection="1">
      <alignment wrapText="1"/>
      <protection hidden="1"/>
    </xf>
    <xf numFmtId="0" fontId="5" fillId="54" borderId="151" xfId="0" applyFont="1" applyFill="1" applyBorder="1" applyAlignment="1" applyProtection="1">
      <alignment wrapText="1"/>
      <protection hidden="1"/>
    </xf>
    <xf numFmtId="0" fontId="8" fillId="57" borderId="119" xfId="0" applyFont="1" applyFill="1" applyBorder="1" applyAlignment="1" applyProtection="1">
      <alignment horizontal="center" vertical="center" wrapText="1"/>
      <protection hidden="1"/>
    </xf>
    <xf numFmtId="43" fontId="64" fillId="54" borderId="116" xfId="1" applyFont="1" applyFill="1" applyBorder="1" applyAlignment="1" applyProtection="1">
      <alignment horizontal="center" vertical="center"/>
      <protection hidden="1"/>
    </xf>
    <xf numFmtId="43" fontId="5" fillId="54" borderId="116" xfId="0" applyNumberFormat="1" applyFont="1" applyFill="1" applyBorder="1" applyAlignment="1" applyProtection="1">
      <alignment horizontal="center" vertical="center"/>
      <protection hidden="1"/>
    </xf>
    <xf numFmtId="44" fontId="64" fillId="2" borderId="110" xfId="2" applyFont="1" applyFill="1" applyBorder="1" applyAlignment="1" applyProtection="1">
      <alignment horizontal="center" vertical="center"/>
      <protection hidden="1"/>
    </xf>
    <xf numFmtId="0" fontId="5" fillId="2" borderId="110" xfId="0" applyFont="1" applyFill="1" applyBorder="1" applyAlignment="1" applyProtection="1">
      <alignment horizontal="center" vertical="center"/>
      <protection hidden="1"/>
    </xf>
    <xf numFmtId="44" fontId="64" fillId="2" borderId="79" xfId="2" applyFont="1" applyFill="1" applyBorder="1" applyAlignment="1" applyProtection="1">
      <alignment horizontal="center" vertical="center"/>
      <protection hidden="1"/>
    </xf>
    <xf numFmtId="0" fontId="5" fillId="2" borderId="79" xfId="0" applyFont="1" applyFill="1" applyBorder="1" applyAlignment="1" applyProtection="1">
      <alignment horizontal="center" vertical="center"/>
      <protection hidden="1"/>
    </xf>
    <xf numFmtId="43" fontId="64" fillId="54" borderId="110" xfId="1" applyFont="1" applyFill="1" applyBorder="1" applyAlignment="1" applyProtection="1">
      <alignment horizontal="center" vertical="center"/>
      <protection hidden="1"/>
    </xf>
    <xf numFmtId="43" fontId="5" fillId="54" borderId="110" xfId="0" applyNumberFormat="1" applyFont="1" applyFill="1" applyBorder="1" applyAlignment="1" applyProtection="1">
      <alignment horizontal="center" vertical="center"/>
      <protection hidden="1"/>
    </xf>
    <xf numFmtId="0" fontId="77" fillId="62" borderId="154" xfId="0" applyFont="1" applyFill="1" applyBorder="1" applyAlignment="1" applyProtection="1">
      <alignment horizontal="center" vertical="center" wrapText="1"/>
      <protection hidden="1"/>
    </xf>
    <xf numFmtId="0" fontId="78" fillId="62" borderId="155" xfId="0" applyFont="1" applyFill="1" applyBorder="1" applyAlignment="1">
      <alignment horizontal="center" vertical="center" wrapText="1"/>
    </xf>
    <xf numFmtId="0" fontId="64" fillId="54" borderId="142" xfId="0" applyFont="1" applyFill="1" applyBorder="1" applyAlignment="1" applyProtection="1">
      <alignment horizontal="left" vertical="center" wrapText="1"/>
      <protection hidden="1"/>
    </xf>
    <xf numFmtId="0" fontId="5" fillId="54" borderId="143" xfId="0" applyFont="1" applyFill="1" applyBorder="1" applyAlignment="1" applyProtection="1">
      <alignment horizontal="left" wrapText="1"/>
      <protection hidden="1"/>
    </xf>
    <xf numFmtId="0" fontId="8" fillId="65" borderId="119" xfId="0" applyFont="1" applyFill="1" applyBorder="1" applyAlignment="1" applyProtection="1">
      <alignment horizontal="center" vertical="center" wrapText="1"/>
      <protection hidden="1"/>
    </xf>
    <xf numFmtId="0" fontId="0" fillId="65" borderId="120" xfId="0" applyFill="1" applyBorder="1" applyAlignment="1" applyProtection="1">
      <alignment horizontal="center" vertical="center" wrapText="1"/>
      <protection hidden="1"/>
    </xf>
    <xf numFmtId="0" fontId="64" fillId="54" borderId="149" xfId="0" applyFont="1" applyFill="1" applyBorder="1" applyAlignment="1" applyProtection="1">
      <alignment horizontal="left" vertical="center" wrapText="1"/>
      <protection hidden="1"/>
    </xf>
    <xf numFmtId="0" fontId="5" fillId="54" borderId="150" xfId="0" applyFont="1" applyFill="1" applyBorder="1" applyAlignment="1" applyProtection="1">
      <alignment horizontal="left" wrapText="1"/>
      <protection hidden="1"/>
    </xf>
    <xf numFmtId="0" fontId="61" fillId="56" borderId="0" xfId="0" applyFont="1" applyFill="1" applyAlignment="1" applyProtection="1">
      <alignment horizontal="center" vertical="center" wrapText="1"/>
      <protection hidden="1"/>
    </xf>
    <xf numFmtId="0" fontId="76" fillId="56" borderId="0" xfId="0" applyFont="1" applyFill="1" applyAlignment="1" applyProtection="1">
      <alignment horizontal="center" vertical="center" wrapText="1"/>
      <protection hidden="1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" vertical="top"/>
    </xf>
    <xf numFmtId="14" fontId="63" fillId="2" borderId="187" xfId="0" applyNumberFormat="1" applyFont="1" applyFill="1" applyBorder="1" applyAlignment="1" applyProtection="1">
      <alignment horizontal="center" vertical="top"/>
      <protection locked="0"/>
    </xf>
    <xf numFmtId="14" fontId="63" fillId="2" borderId="189" xfId="0" applyNumberFormat="1" applyFont="1" applyFill="1" applyBorder="1" applyAlignment="1" applyProtection="1">
      <alignment horizontal="center" vertical="top"/>
      <protection locked="0"/>
    </xf>
    <xf numFmtId="0" fontId="62" fillId="61" borderId="0" xfId="0" applyFont="1" applyFill="1" applyAlignment="1">
      <alignment horizontal="center" vertical="center"/>
    </xf>
    <xf numFmtId="0" fontId="79" fillId="64" borderId="154" xfId="0" applyFont="1" applyFill="1" applyBorder="1" applyAlignment="1" applyProtection="1">
      <alignment horizontal="center" vertical="center"/>
      <protection hidden="1"/>
    </xf>
    <xf numFmtId="0" fontId="80" fillId="64" borderId="85" xfId="0" applyFont="1" applyFill="1" applyBorder="1" applyAlignment="1" applyProtection="1">
      <alignment vertical="center"/>
      <protection hidden="1"/>
    </xf>
    <xf numFmtId="0" fontId="80" fillId="64" borderId="155" xfId="0" applyFont="1" applyFill="1" applyBorder="1" applyAlignment="1" applyProtection="1">
      <alignment vertical="center"/>
      <protection hidden="1"/>
    </xf>
    <xf numFmtId="0" fontId="8" fillId="60" borderId="0" xfId="0" applyFont="1" applyFill="1" applyAlignment="1">
      <alignment horizontal="center" vertical="top"/>
    </xf>
    <xf numFmtId="0" fontId="8" fillId="72" borderId="0" xfId="0" applyFont="1" applyFill="1" applyAlignment="1" applyProtection="1">
      <alignment horizontal="center" vertical="top"/>
      <protection hidden="1"/>
    </xf>
    <xf numFmtId="0" fontId="77" fillId="63" borderId="142" xfId="0" applyFont="1" applyFill="1" applyBorder="1" applyAlignment="1" applyProtection="1">
      <alignment horizontal="center" vertical="center" wrapText="1"/>
      <protection hidden="1"/>
    </xf>
    <xf numFmtId="0" fontId="78" fillId="63" borderId="143" xfId="0" applyFont="1" applyFill="1" applyBorder="1" applyAlignment="1">
      <alignment wrapText="1"/>
    </xf>
    <xf numFmtId="0" fontId="78" fillId="63" borderId="147" xfId="0" applyFont="1" applyFill="1" applyBorder="1" applyAlignment="1">
      <alignment wrapText="1"/>
    </xf>
    <xf numFmtId="0" fontId="78" fillId="63" borderId="149" xfId="0" applyFont="1" applyFill="1" applyBorder="1" applyAlignment="1">
      <alignment wrapText="1"/>
    </xf>
    <xf numFmtId="0" fontId="78" fillId="63" borderId="150" xfId="0" applyFont="1" applyFill="1" applyBorder="1" applyAlignment="1">
      <alignment wrapText="1"/>
    </xf>
    <xf numFmtId="0" fontId="78" fillId="63" borderId="151" xfId="0" applyFont="1" applyFill="1" applyBorder="1" applyAlignment="1">
      <alignment wrapText="1"/>
    </xf>
    <xf numFmtId="44" fontId="58" fillId="2" borderId="85" xfId="2" applyFont="1" applyFill="1" applyBorder="1" applyAlignment="1" applyProtection="1">
      <alignment horizontal="center" vertical="center"/>
      <protection hidden="1"/>
    </xf>
    <xf numFmtId="44" fontId="75" fillId="2" borderId="155" xfId="2" applyFont="1" applyFill="1" applyBorder="1" applyAlignment="1" applyProtection="1">
      <alignment horizontal="center" vertical="center"/>
      <protection hidden="1"/>
    </xf>
    <xf numFmtId="0" fontId="8" fillId="72" borderId="0" xfId="0" applyFont="1" applyFill="1" applyAlignment="1" applyProtection="1">
      <alignment horizontal="center" vertical="top"/>
      <protection locked="0" hidden="1"/>
    </xf>
    <xf numFmtId="0" fontId="0" fillId="72" borderId="0" xfId="0" applyFill="1" applyAlignment="1">
      <alignment horizontal="center" vertical="top"/>
    </xf>
    <xf numFmtId="0" fontId="6" fillId="6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4" fontId="64" fillId="2" borderId="108" xfId="2" applyFont="1" applyFill="1" applyBorder="1" applyAlignment="1" applyProtection="1">
      <alignment horizontal="center" vertical="center"/>
      <protection hidden="1"/>
    </xf>
    <xf numFmtId="0" fontId="5" fillId="2" borderId="109" xfId="0" applyFont="1" applyFill="1" applyBorder="1" applyAlignment="1" applyProtection="1">
      <alignment horizontal="center" vertical="center"/>
      <protection hidden="1"/>
    </xf>
    <xf numFmtId="170" fontId="58" fillId="2" borderId="169" xfId="2" applyNumberFormat="1" applyFont="1" applyFill="1" applyBorder="1" applyAlignment="1" applyProtection="1">
      <alignment horizontal="center" vertical="center"/>
      <protection hidden="1"/>
    </xf>
    <xf numFmtId="170" fontId="58" fillId="2" borderId="170" xfId="2" applyNumberFormat="1" applyFont="1" applyFill="1" applyBorder="1" applyAlignment="1" applyProtection="1">
      <alignment horizontal="center" vertical="center"/>
      <protection hidden="1"/>
    </xf>
    <xf numFmtId="0" fontId="58" fillId="71" borderId="87" xfId="0" applyFont="1" applyFill="1" applyBorder="1" applyAlignment="1" applyProtection="1">
      <alignment horizontal="center" vertical="top" wrapText="1"/>
      <protection hidden="1"/>
    </xf>
    <xf numFmtId="0" fontId="5" fillId="71" borderId="88" xfId="0" applyFont="1" applyFill="1" applyBorder="1" applyAlignment="1">
      <alignment horizontal="center" vertical="top" wrapText="1"/>
    </xf>
    <xf numFmtId="0" fontId="5" fillId="71" borderId="89" xfId="0" applyFont="1" applyFill="1" applyBorder="1" applyAlignment="1">
      <alignment horizontal="center" vertical="top" wrapText="1"/>
    </xf>
    <xf numFmtId="0" fontId="64" fillId="54" borderId="0" xfId="0" applyFont="1" applyFill="1" applyAlignment="1" applyProtection="1">
      <alignment horizontal="left" vertical="top" wrapText="1"/>
      <protection hidden="1"/>
    </xf>
    <xf numFmtId="0" fontId="0" fillId="0" borderId="0" xfId="0" applyAlignment="1">
      <alignment horizontal="left" vertical="top" wrapText="1"/>
    </xf>
    <xf numFmtId="0" fontId="0" fillId="65" borderId="120" xfId="0" applyFill="1" applyBorder="1" applyAlignment="1">
      <alignment horizontal="center" vertical="center"/>
    </xf>
    <xf numFmtId="44" fontId="64" fillId="54" borderId="87" xfId="2" applyFont="1" applyFill="1" applyBorder="1" applyAlignment="1" applyProtection="1">
      <alignment horizontal="center" vertical="center"/>
      <protection hidden="1"/>
    </xf>
    <xf numFmtId="0" fontId="5" fillId="54" borderId="89" xfId="0" applyFont="1" applyFill="1" applyBorder="1" applyAlignment="1" applyProtection="1">
      <alignment horizontal="center" vertical="center"/>
      <protection hidden="1"/>
    </xf>
    <xf numFmtId="44" fontId="64" fillId="54" borderId="167" xfId="2" applyFont="1" applyFill="1" applyBorder="1" applyAlignment="1" applyProtection="1">
      <alignment horizontal="center" vertical="center"/>
      <protection hidden="1"/>
    </xf>
    <xf numFmtId="0" fontId="5" fillId="54" borderId="146" xfId="0" applyFont="1" applyFill="1" applyBorder="1" applyAlignment="1" applyProtection="1">
      <alignment horizontal="center" vertical="center"/>
      <protection hidden="1"/>
    </xf>
    <xf numFmtId="173" fontId="64" fillId="54" borderId="70" xfId="1" applyNumberFormat="1" applyFont="1" applyFill="1" applyBorder="1" applyAlignment="1" applyProtection="1">
      <alignment horizontal="center" vertical="center"/>
      <protection hidden="1"/>
    </xf>
    <xf numFmtId="173" fontId="64" fillId="54" borderId="166" xfId="1" applyNumberFormat="1" applyFont="1" applyFill="1" applyBorder="1" applyAlignment="1" applyProtection="1">
      <alignment horizontal="center" vertical="center"/>
      <protection hidden="1"/>
    </xf>
    <xf numFmtId="0" fontId="0" fillId="65" borderId="120" xfId="0" applyFill="1" applyBorder="1" applyAlignment="1">
      <alignment horizontal="center" vertical="center" wrapText="1"/>
    </xf>
    <xf numFmtId="0" fontId="8" fillId="65" borderId="163" xfId="0" applyFont="1" applyFill="1" applyBorder="1" applyAlignment="1" applyProtection="1">
      <alignment horizontal="center" vertical="center" wrapText="1"/>
      <protection hidden="1"/>
    </xf>
    <xf numFmtId="44" fontId="4" fillId="51" borderId="0" xfId="2" applyFont="1" applyFill="1" applyBorder="1" applyAlignment="1" applyProtection="1">
      <alignment horizontal="center" vertical="center"/>
      <protection hidden="1"/>
    </xf>
    <xf numFmtId="44" fontId="64" fillId="2" borderId="175" xfId="2" applyFont="1" applyFill="1" applyBorder="1" applyAlignment="1" applyProtection="1">
      <alignment horizontal="center" vertical="center"/>
      <protection hidden="1"/>
    </xf>
    <xf numFmtId="44" fontId="64" fillId="2" borderId="176" xfId="2" applyFont="1" applyFill="1" applyBorder="1" applyAlignment="1" applyProtection="1">
      <alignment horizontal="center" vertical="center"/>
      <protection hidden="1"/>
    </xf>
    <xf numFmtId="43" fontId="64" fillId="54" borderId="177" xfId="1" applyFont="1" applyFill="1" applyBorder="1" applyAlignment="1" applyProtection="1">
      <alignment horizontal="center" vertical="center"/>
      <protection hidden="1"/>
    </xf>
    <xf numFmtId="43" fontId="5" fillId="54" borderId="178" xfId="0" applyNumberFormat="1" applyFont="1" applyFill="1" applyBorder="1" applyAlignment="1" applyProtection="1">
      <alignment horizontal="center" vertical="center"/>
      <protection hidden="1"/>
    </xf>
    <xf numFmtId="43" fontId="64" fillId="54" borderId="179" xfId="1" applyFont="1" applyFill="1" applyBorder="1" applyAlignment="1" applyProtection="1">
      <alignment horizontal="center" vertical="center"/>
      <protection hidden="1"/>
    </xf>
    <xf numFmtId="43" fontId="5" fillId="54" borderId="179" xfId="0" applyNumberFormat="1" applyFont="1" applyFill="1" applyBorder="1" applyAlignment="1" applyProtection="1">
      <alignment horizontal="center" vertical="center"/>
      <protection hidden="1"/>
    </xf>
    <xf numFmtId="0" fontId="6" fillId="0" borderId="92" xfId="0" applyFont="1" applyBorder="1" applyAlignment="1">
      <alignment horizontal="center" vertical="center" wrapText="1"/>
    </xf>
    <xf numFmtId="0" fontId="6" fillId="0" borderId="93" xfId="0" applyFont="1" applyBorder="1" applyAlignment="1">
      <alignment horizontal="center" vertical="center" wrapText="1"/>
    </xf>
    <xf numFmtId="0" fontId="6" fillId="0" borderId="94" xfId="0" applyFont="1" applyBorder="1" applyAlignment="1">
      <alignment horizontal="center" vertical="center" wrapText="1"/>
    </xf>
    <xf numFmtId="0" fontId="6" fillId="0" borderId="7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71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95" xfId="0" applyFont="1" applyBorder="1" applyAlignment="1">
      <alignment horizontal="center" vertical="center" wrapText="1"/>
    </xf>
    <xf numFmtId="0" fontId="6" fillId="0" borderId="96" xfId="0" applyFont="1" applyBorder="1" applyAlignment="1">
      <alignment horizontal="center" vertical="center" wrapText="1"/>
    </xf>
    <xf numFmtId="0" fontId="92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44" fontId="58" fillId="2" borderId="147" xfId="2" applyFont="1" applyFill="1" applyBorder="1" applyAlignment="1" applyProtection="1">
      <alignment horizontal="center" vertical="center"/>
      <protection hidden="1"/>
    </xf>
    <xf numFmtId="0" fontId="0" fillId="0" borderId="148" xfId="0" applyBorder="1" applyAlignment="1">
      <alignment horizontal="center" vertical="center"/>
    </xf>
    <xf numFmtId="44" fontId="58" fillId="2" borderId="152" xfId="2" applyFont="1" applyFill="1" applyBorder="1" applyAlignment="1" applyProtection="1">
      <alignment horizontal="center" vertical="center"/>
      <protection hidden="1"/>
    </xf>
    <xf numFmtId="0" fontId="83" fillId="54" borderId="0" xfId="0" applyFont="1" applyFill="1" applyAlignment="1" applyProtection="1">
      <alignment horizontal="right" wrapText="1"/>
      <protection hidden="1"/>
    </xf>
    <xf numFmtId="0" fontId="84" fillId="0" borderId="0" xfId="0" applyFont="1" applyAlignment="1">
      <alignment horizontal="right" wrapText="1"/>
    </xf>
    <xf numFmtId="0" fontId="83" fillId="54" borderId="0" xfId="0" applyFont="1" applyFill="1" applyAlignment="1" applyProtection="1">
      <alignment horizontal="center" vertical="center"/>
      <protection hidden="1"/>
    </xf>
    <xf numFmtId="0" fontId="84" fillId="0" borderId="0" xfId="0" applyFont="1" applyAlignment="1">
      <alignment horizontal="center" vertical="center"/>
    </xf>
    <xf numFmtId="44" fontId="4" fillId="51" borderId="150" xfId="2" applyFont="1" applyFill="1" applyBorder="1" applyAlignment="1" applyProtection="1">
      <alignment horizontal="center" vertical="center"/>
      <protection hidden="1"/>
    </xf>
    <xf numFmtId="44" fontId="64" fillId="0" borderId="128" xfId="2" applyFont="1" applyFill="1" applyBorder="1" applyAlignment="1" applyProtection="1">
      <alignment horizontal="center" vertical="center"/>
      <protection hidden="1"/>
    </xf>
    <xf numFmtId="44" fontId="5" fillId="0" borderId="0" xfId="2" applyFont="1" applyFill="1" applyAlignment="1"/>
    <xf numFmtId="43" fontId="64" fillId="54" borderId="88" xfId="1" applyFont="1" applyFill="1" applyBorder="1" applyAlignment="1" applyProtection="1">
      <alignment horizontal="right" vertical="top"/>
      <protection hidden="1"/>
    </xf>
    <xf numFmtId="43" fontId="0" fillId="0" borderId="88" xfId="1" applyFont="1" applyBorder="1" applyAlignment="1">
      <alignment horizontal="right" vertical="top"/>
    </xf>
    <xf numFmtId="43" fontId="64" fillId="54" borderId="145" xfId="1" applyFont="1" applyFill="1" applyBorder="1" applyAlignment="1" applyProtection="1">
      <alignment horizontal="right" vertical="top"/>
      <protection hidden="1"/>
    </xf>
    <xf numFmtId="43" fontId="0" fillId="0" borderId="145" xfId="1" applyFont="1" applyBorder="1" applyAlignment="1">
      <alignment horizontal="right" vertical="top"/>
    </xf>
    <xf numFmtId="44" fontId="34" fillId="59" borderId="0" xfId="2" applyFont="1" applyFill="1" applyBorder="1" applyAlignment="1" applyProtection="1">
      <alignment horizontal="left" vertical="center"/>
      <protection hidden="1"/>
    </xf>
    <xf numFmtId="44" fontId="82" fillId="59" borderId="0" xfId="2" applyFont="1" applyFill="1" applyBorder="1" applyAlignment="1" applyProtection="1">
      <alignment horizontal="left" vertical="center"/>
      <protection hidden="1"/>
    </xf>
    <xf numFmtId="44" fontId="6" fillId="8" borderId="0" xfId="2" applyFont="1" applyFill="1" applyBorder="1" applyAlignment="1" applyProtection="1">
      <protection hidden="1"/>
    </xf>
    <xf numFmtId="44" fontId="37" fillId="0" borderId="87" xfId="2" applyFont="1" applyBorder="1" applyAlignment="1" applyProtection="1">
      <alignment wrapText="1"/>
      <protection hidden="1"/>
    </xf>
    <xf numFmtId="44" fontId="37" fillId="0" borderId="197" xfId="2" applyFont="1" applyBorder="1" applyAlignment="1" applyProtection="1">
      <alignment wrapText="1"/>
      <protection hidden="1"/>
    </xf>
    <xf numFmtId="170" fontId="37" fillId="2" borderId="0" xfId="2" applyNumberFormat="1" applyFont="1" applyFill="1" applyBorder="1" applyAlignment="1" applyProtection="1">
      <alignment horizontal="right"/>
      <protection hidden="1"/>
    </xf>
    <xf numFmtId="0" fontId="94" fillId="0" borderId="0" xfId="0" applyFont="1" applyAlignment="1">
      <alignment horizontal="center" vertical="center" wrapText="1"/>
    </xf>
    <xf numFmtId="164" fontId="5" fillId="0" borderId="0" xfId="0" applyNumberFormat="1" applyFont="1" applyAlignment="1" applyProtection="1">
      <alignment horizontal="center"/>
      <protection hidden="1"/>
    </xf>
    <xf numFmtId="0" fontId="43" fillId="55" borderId="0" xfId="0" applyFont="1" applyFill="1" applyAlignment="1" applyProtection="1">
      <alignment horizontal="center"/>
      <protection hidden="1"/>
    </xf>
    <xf numFmtId="0" fontId="0" fillId="55" borderId="0" xfId="0" applyFill="1" applyAlignment="1">
      <alignment horizontal="center"/>
    </xf>
    <xf numFmtId="0" fontId="37" fillId="53" borderId="134" xfId="0" applyFont="1" applyFill="1" applyBorder="1" applyAlignment="1" applyProtection="1">
      <alignment horizontal="center" vertical="center" wrapText="1"/>
      <protection hidden="1"/>
    </xf>
    <xf numFmtId="0" fontId="0" fillId="0" borderId="71" xfId="0" applyBorder="1" applyAlignment="1" applyProtection="1">
      <alignment wrapText="1"/>
      <protection hidden="1"/>
    </xf>
    <xf numFmtId="0" fontId="0" fillId="0" borderId="134" xfId="0" applyBorder="1" applyAlignment="1" applyProtection="1">
      <alignment wrapText="1"/>
      <protection hidden="1"/>
    </xf>
    <xf numFmtId="0" fontId="0" fillId="0" borderId="124" xfId="0" applyBorder="1" applyAlignment="1" applyProtection="1">
      <alignment wrapText="1"/>
      <protection hidden="1"/>
    </xf>
    <xf numFmtId="0" fontId="0" fillId="0" borderId="191" xfId="0" applyBorder="1" applyAlignment="1" applyProtection="1">
      <alignment wrapText="1"/>
      <protection hidden="1"/>
    </xf>
    <xf numFmtId="0" fontId="37" fillId="53" borderId="72" xfId="0" applyFont="1" applyFill="1" applyBorder="1" applyAlignment="1" applyProtection="1">
      <alignment horizontal="center" vertical="center" wrapText="1"/>
      <protection hidden="1"/>
    </xf>
    <xf numFmtId="0" fontId="0" fillId="0" borderId="72" xfId="0" applyBorder="1" applyAlignment="1" applyProtection="1">
      <alignment wrapText="1"/>
      <protection hidden="1"/>
    </xf>
    <xf numFmtId="0" fontId="0" fillId="0" borderId="193" xfId="0" applyBorder="1" applyAlignment="1" applyProtection="1">
      <alignment wrapText="1"/>
      <protection hidden="1"/>
    </xf>
    <xf numFmtId="0" fontId="37" fillId="53" borderId="130" xfId="0" applyFont="1" applyFill="1" applyBorder="1" applyAlignment="1" applyProtection="1">
      <alignment horizontal="center" vertical="center" wrapText="1"/>
      <protection hidden="1"/>
    </xf>
    <xf numFmtId="0" fontId="0" fillId="0" borderId="130" xfId="0" applyBorder="1" applyAlignment="1" applyProtection="1">
      <alignment wrapText="1"/>
      <protection hidden="1"/>
    </xf>
    <xf numFmtId="0" fontId="0" fillId="0" borderId="192" xfId="0" applyBorder="1" applyAlignment="1" applyProtection="1">
      <alignment wrapText="1"/>
      <protection hidden="1"/>
    </xf>
    <xf numFmtId="0" fontId="37" fillId="49" borderId="72" xfId="0" applyFont="1" applyFill="1" applyBorder="1" applyAlignment="1" applyProtection="1">
      <alignment horizontal="center" vertical="center" wrapText="1"/>
      <protection hidden="1"/>
    </xf>
    <xf numFmtId="0" fontId="37" fillId="49" borderId="71" xfId="0" applyFont="1" applyFill="1" applyBorder="1" applyAlignment="1" applyProtection="1">
      <alignment horizontal="center" vertical="center" wrapText="1"/>
      <protection hidden="1"/>
    </xf>
    <xf numFmtId="0" fontId="37" fillId="49" borderId="193" xfId="0" applyFont="1" applyFill="1" applyBorder="1" applyAlignment="1" applyProtection="1">
      <alignment horizontal="center" vertical="center" wrapText="1"/>
      <protection hidden="1"/>
    </xf>
    <xf numFmtId="0" fontId="37" fillId="49" borderId="191" xfId="0" applyFont="1" applyFill="1" applyBorder="1" applyAlignment="1" applyProtection="1">
      <alignment horizontal="center" vertical="center" wrapText="1"/>
      <protection hidden="1"/>
    </xf>
    <xf numFmtId="44" fontId="87" fillId="2" borderId="0" xfId="2" applyFont="1" applyFill="1" applyBorder="1" applyAlignment="1" applyProtection="1">
      <alignment horizontal="center" vertical="center" wrapText="1"/>
      <protection hidden="1"/>
    </xf>
    <xf numFmtId="0" fontId="88" fillId="0" borderId="0" xfId="0" applyFont="1" applyAlignment="1">
      <alignment horizontal="center" vertical="center" wrapText="1"/>
    </xf>
    <xf numFmtId="170" fontId="87" fillId="2" borderId="0" xfId="2" applyNumberFormat="1" applyFont="1" applyFill="1" applyBorder="1" applyAlignment="1" applyProtection="1">
      <alignment horizontal="center" vertical="center" wrapText="1"/>
      <protection hidden="1"/>
    </xf>
    <xf numFmtId="44" fontId="34" fillId="55" borderId="0" xfId="2" applyFont="1" applyFill="1" applyBorder="1" applyAlignment="1" applyProtection="1">
      <alignment horizontal="center"/>
      <protection hidden="1"/>
    </xf>
    <xf numFmtId="0" fontId="67" fillId="0" borderId="139" xfId="0" applyFont="1" applyBorder="1" applyAlignment="1" applyProtection="1">
      <alignment horizontal="center" vertical="center" textRotation="60" wrapText="1"/>
      <protection hidden="1"/>
    </xf>
    <xf numFmtId="0" fontId="0" fillId="0" borderId="139" xfId="0" applyBorder="1" applyAlignment="1" applyProtection="1">
      <alignment horizontal="center" vertical="center" textRotation="60" wrapText="1"/>
      <protection hidden="1"/>
    </xf>
    <xf numFmtId="0" fontId="67" fillId="0" borderId="136" xfId="0" applyFont="1" applyBorder="1" applyAlignment="1" applyProtection="1">
      <alignment horizontal="center" vertical="center" textRotation="59" wrapText="1"/>
      <protection hidden="1"/>
    </xf>
    <xf numFmtId="0" fontId="0" fillId="0" borderId="138" xfId="0" applyBorder="1" applyAlignment="1" applyProtection="1">
      <alignment horizontal="center" vertical="center" textRotation="59" wrapText="1"/>
      <protection hidden="1"/>
    </xf>
    <xf numFmtId="0" fontId="0" fillId="0" borderId="137" xfId="0" applyBorder="1" applyAlignment="1" applyProtection="1">
      <alignment horizontal="center" vertical="center" textRotation="59" wrapText="1"/>
      <protection hidden="1"/>
    </xf>
    <xf numFmtId="0" fontId="67" fillId="0" borderId="136" xfId="0" applyFont="1" applyBorder="1" applyAlignment="1" applyProtection="1">
      <alignment horizontal="center" vertical="center" textRotation="60" wrapText="1"/>
      <protection hidden="1"/>
    </xf>
    <xf numFmtId="0" fontId="0" fillId="0" borderId="138" xfId="0" applyBorder="1" applyAlignment="1" applyProtection="1">
      <alignment horizontal="center" vertical="center" textRotation="60" wrapText="1"/>
      <protection hidden="1"/>
    </xf>
    <xf numFmtId="0" fontId="0" fillId="0" borderId="137" xfId="0" applyBorder="1" applyAlignment="1" applyProtection="1">
      <alignment horizontal="center" vertical="center" textRotation="60" wrapText="1"/>
      <protection hidden="1"/>
    </xf>
    <xf numFmtId="0" fontId="0" fillId="0" borderId="135" xfId="0" applyBorder="1" applyAlignment="1" applyProtection="1">
      <alignment wrapText="1"/>
      <protection hidden="1"/>
    </xf>
    <xf numFmtId="0" fontId="0" fillId="0" borderId="125" xfId="0" applyBorder="1" applyAlignment="1" applyProtection="1">
      <alignment wrapText="1"/>
      <protection hidden="1"/>
    </xf>
    <xf numFmtId="44" fontId="5" fillId="0" borderId="80" xfId="2" applyFont="1" applyBorder="1" applyAlignment="1" applyProtection="1">
      <protection hidden="1"/>
    </xf>
    <xf numFmtId="44" fontId="5" fillId="0" borderId="70" xfId="2" applyFont="1" applyBorder="1" applyAlignment="1" applyProtection="1">
      <protection hidden="1"/>
    </xf>
    <xf numFmtId="0" fontId="5" fillId="0" borderId="80" xfId="0" applyFont="1" applyBorder="1" applyAlignment="1" applyProtection="1">
      <alignment horizontal="center" vertical="center"/>
      <protection hidden="1"/>
    </xf>
    <xf numFmtId="0" fontId="0" fillId="0" borderId="80" xfId="0" applyBorder="1" applyAlignment="1" applyProtection="1">
      <alignment horizontal="center" vertical="center"/>
      <protection hidden="1"/>
    </xf>
    <xf numFmtId="0" fontId="5" fillId="0" borderId="70" xfId="0" applyFont="1" applyBorder="1" applyAlignment="1" applyProtection="1">
      <alignment horizontal="center" vertical="center"/>
      <protection hidden="1"/>
    </xf>
    <xf numFmtId="0" fontId="0" fillId="0" borderId="70" xfId="0" applyBorder="1" applyAlignment="1" applyProtection="1">
      <alignment horizontal="center" vertical="center"/>
      <protection hidden="1"/>
    </xf>
    <xf numFmtId="43" fontId="5" fillId="0" borderId="80" xfId="1" applyFont="1" applyBorder="1" applyAlignment="1" applyProtection="1">
      <alignment horizontal="left" vertical="top"/>
      <protection hidden="1"/>
    </xf>
    <xf numFmtId="43" fontId="0" fillId="0" borderId="80" xfId="1" applyFont="1" applyBorder="1" applyAlignment="1" applyProtection="1">
      <alignment horizontal="left" vertical="top"/>
      <protection hidden="1"/>
    </xf>
    <xf numFmtId="43" fontId="0" fillId="0" borderId="70" xfId="1" applyFont="1" applyBorder="1" applyAlignment="1" applyProtection="1">
      <alignment horizontal="left" vertical="top"/>
      <protection hidden="1"/>
    </xf>
    <xf numFmtId="0" fontId="14" fillId="2" borderId="32" xfId="10" applyFont="1" applyFill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12" fillId="42" borderId="33" xfId="10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12" fillId="41" borderId="31" xfId="10" applyFont="1" applyFill="1" applyBorder="1" applyAlignment="1" applyProtection="1">
      <alignment horizontal="center" wrapText="1"/>
      <protection hidden="1"/>
    </xf>
    <xf numFmtId="0" fontId="0" fillId="0" borderId="34" xfId="0" applyBorder="1" applyAlignment="1">
      <alignment horizontal="center" wrapText="1"/>
    </xf>
    <xf numFmtId="43" fontId="4" fillId="47" borderId="72" xfId="1" quotePrefix="1" applyFont="1" applyFill="1" applyBorder="1" applyAlignment="1" applyProtection="1">
      <alignment horizontal="center" vertical="center" wrapText="1"/>
      <protection hidden="1"/>
    </xf>
    <xf numFmtId="0" fontId="0" fillId="0" borderId="71" xfId="0" applyBorder="1" applyAlignment="1">
      <alignment wrapText="1"/>
    </xf>
    <xf numFmtId="0" fontId="44" fillId="0" borderId="0" xfId="0" applyFont="1" applyAlignment="1"/>
    <xf numFmtId="0" fontId="63" fillId="2" borderId="187" xfId="0" applyFont="1" applyFill="1" applyBorder="1" applyAlignment="1" applyProtection="1">
      <protection locked="0"/>
    </xf>
    <xf numFmtId="0" fontId="63" fillId="2" borderId="188" xfId="0" applyFont="1" applyFill="1" applyBorder="1" applyAlignment="1" applyProtection="1">
      <protection locked="0"/>
    </xf>
    <xf numFmtId="0" fontId="63" fillId="2" borderId="189" xfId="0" applyFont="1" applyFill="1" applyBorder="1" applyAlignment="1" applyProtection="1">
      <protection locked="0"/>
    </xf>
    <xf numFmtId="0" fontId="0" fillId="72" borderId="0" xfId="0" applyFill="1" applyAlignment="1"/>
    <xf numFmtId="0" fontId="0" fillId="0" borderId="0" xfId="0" applyAlignment="1"/>
    <xf numFmtId="0" fontId="3" fillId="57" borderId="85" xfId="0" applyFont="1" applyFill="1" applyBorder="1" applyAlignment="1" applyProtection="1">
      <protection hidden="1"/>
    </xf>
    <xf numFmtId="0" fontId="0" fillId="65" borderId="147" xfId="0" applyFill="1" applyBorder="1" applyAlignment="1"/>
    <xf numFmtId="0" fontId="0" fillId="0" borderId="70" xfId="0" applyBorder="1" applyAlignment="1"/>
    <xf numFmtId="0" fontId="0" fillId="0" borderId="126" xfId="0" applyBorder="1" applyAlignment="1"/>
    <xf numFmtId="0" fontId="0" fillId="0" borderId="166" xfId="0" applyBorder="1" applyAlignment="1"/>
    <xf numFmtId="0" fontId="0" fillId="0" borderId="151" xfId="0" applyBorder="1" applyAlignment="1"/>
    <xf numFmtId="0" fontId="89" fillId="54" borderId="0" xfId="0" applyFont="1" applyFill="1" applyAlignment="1"/>
    <xf numFmtId="0" fontId="90" fillId="0" borderId="0" xfId="0" applyFont="1" applyAlignment="1"/>
    <xf numFmtId="0" fontId="85" fillId="54" borderId="0" xfId="0" applyFont="1" applyFill="1" applyAlignment="1"/>
    <xf numFmtId="0" fontId="86" fillId="0" borderId="0" xfId="0" applyFont="1" applyAlignment="1"/>
    <xf numFmtId="0" fontId="0" fillId="55" borderId="0" xfId="0" applyFill="1" applyAlignment="1"/>
    <xf numFmtId="0" fontId="0" fillId="0" borderId="195" xfId="0" applyBorder="1" applyAlignment="1" applyProtection="1">
      <protection hidden="1"/>
    </xf>
    <xf numFmtId="0" fontId="0" fillId="0" borderId="196" xfId="0" applyBorder="1" applyAlignment="1" applyProtection="1">
      <protection hidden="1"/>
    </xf>
    <xf numFmtId="0" fontId="13" fillId="8" borderId="135" xfId="0" applyFont="1" applyFill="1" applyBorder="1" applyAlignment="1" applyProtection="1">
      <protection hidden="1"/>
    </xf>
  </cellXfs>
  <cellStyles count="57">
    <cellStyle name="20% - Accent1" xfId="31" builtinId="30" customBuiltin="1"/>
    <cellStyle name="20% - Accent2" xfId="35" builtinId="34" customBuiltin="1"/>
    <cellStyle name="20% - Accent3" xfId="39" builtinId="38" customBuiltin="1"/>
    <cellStyle name="20% - Accent4" xfId="43" builtinId="42" customBuiltin="1"/>
    <cellStyle name="20% - Accent5" xfId="47" builtinId="46" customBuiltin="1"/>
    <cellStyle name="20% - Accent6" xfId="51" builtinId="50" customBuiltin="1"/>
    <cellStyle name="40% - Accent1" xfId="32" builtinId="31" customBuiltin="1"/>
    <cellStyle name="40% - Accent2" xfId="36" builtinId="35" customBuiltin="1"/>
    <cellStyle name="40% - Accent3" xfId="40" builtinId="39" customBuiltin="1"/>
    <cellStyle name="40% - Accent4" xfId="44" builtinId="43" customBuiltin="1"/>
    <cellStyle name="40% - Accent5" xfId="48" builtinId="47" customBuiltin="1"/>
    <cellStyle name="40% - Accent6" xfId="52" builtinId="51" customBuiltin="1"/>
    <cellStyle name="60% - Accent1" xfId="33" builtinId="32" customBuiltin="1"/>
    <cellStyle name="60% - Accent2" xfId="37" builtinId="36" customBuiltin="1"/>
    <cellStyle name="60% - Accent3" xfId="41" builtinId="40" customBuiltin="1"/>
    <cellStyle name="60% - Accent4" xfId="45" builtinId="44" customBuiltin="1"/>
    <cellStyle name="60% - Accent5" xfId="49" builtinId="48" customBuiltin="1"/>
    <cellStyle name="60% - Accent6" xfId="53" builtinId="52" customBuiltin="1"/>
    <cellStyle name="Accent1" xfId="30" builtinId="29" customBuiltin="1"/>
    <cellStyle name="Accent2" xfId="34" builtinId="33" customBuiltin="1"/>
    <cellStyle name="Accent3" xfId="38" builtinId="37" customBuiltin="1"/>
    <cellStyle name="Accent4" xfId="42" builtinId="41" customBuiltin="1"/>
    <cellStyle name="Accent5" xfId="46" builtinId="45" customBuiltin="1"/>
    <cellStyle name="Accent6" xfId="50" builtinId="49" customBuiltin="1"/>
    <cellStyle name="Bad" xfId="19" builtinId="27" customBuiltin="1"/>
    <cellStyle name="Calculation" xfId="23" builtinId="22" customBuiltin="1"/>
    <cellStyle name="Check Cell" xfId="25" builtinId="23" customBuiltin="1"/>
    <cellStyle name="Comma" xfId="1" builtinId="3"/>
    <cellStyle name="Comma 2" xfId="11" xr:uid="{00000000-0005-0000-0000-00001C000000}"/>
    <cellStyle name="Comma 3" xfId="4" xr:uid="{00000000-0005-0000-0000-00001D000000}"/>
    <cellStyle name="Comma 4" xfId="55" xr:uid="{00000000-0005-0000-0000-00001E000000}"/>
    <cellStyle name="Currency" xfId="2" builtinId="4"/>
    <cellStyle name="Currency 2" xfId="9" xr:uid="{00000000-0005-0000-0000-000021000000}"/>
    <cellStyle name="Currency 3" xfId="8" xr:uid="{00000000-0005-0000-0000-000022000000}"/>
    <cellStyle name="Currency 4" xfId="12" xr:uid="{00000000-0005-0000-0000-000023000000}"/>
    <cellStyle name="Currency 5" xfId="5" xr:uid="{00000000-0005-0000-0000-000024000000}"/>
    <cellStyle name="Currency 6" xfId="56" xr:uid="{00000000-0005-0000-0000-000025000000}"/>
    <cellStyle name="Explanatory Text" xfId="28" builtinId="53" customBuiltin="1"/>
    <cellStyle name="Good" xfId="18" builtinId="26" customBuiltin="1"/>
    <cellStyle name="Heading 1" xfId="14" builtinId="16" customBuiltin="1"/>
    <cellStyle name="Heading 2" xfId="15" builtinId="17" customBuiltin="1"/>
    <cellStyle name="Heading 3" xfId="16" builtinId="18" customBuiltin="1"/>
    <cellStyle name="Heading 4" xfId="17" builtinId="19" customBuiltin="1"/>
    <cellStyle name="Input" xfId="21" builtinId="20" customBuiltin="1"/>
    <cellStyle name="Linked Cell" xfId="24" builtinId="24" customBuiltin="1"/>
    <cellStyle name="Neutral" xfId="20" builtinId="28" customBuiltin="1"/>
    <cellStyle name="Normal" xfId="0" builtinId="0"/>
    <cellStyle name="Normal 2" xfId="6" xr:uid="{00000000-0005-0000-0000-000030000000}"/>
    <cellStyle name="Normal 3" xfId="7" xr:uid="{00000000-0005-0000-0000-000031000000}"/>
    <cellStyle name="Normal 4" xfId="10" xr:uid="{00000000-0005-0000-0000-000032000000}"/>
    <cellStyle name="Normal 5" xfId="13" xr:uid="{00000000-0005-0000-0000-000033000000}"/>
    <cellStyle name="Normal 6" xfId="3" xr:uid="{00000000-0005-0000-0000-000034000000}"/>
    <cellStyle name="Note" xfId="27" builtinId="10" customBuiltin="1"/>
    <cellStyle name="Output" xfId="22" builtinId="21" customBuiltin="1"/>
    <cellStyle name="Title 2" xfId="54" xr:uid="{00000000-0005-0000-0000-000039000000}"/>
    <cellStyle name="Total" xfId="29" builtinId="25" customBuiltin="1"/>
    <cellStyle name="Warning Text" xfId="26" builtinId="11" customBuiltin="1"/>
  </cellStyles>
  <dxfs count="0"/>
  <tableStyles count="0" defaultTableStyle="TableStyleMedium2" defaultPivotStyle="PivotStyleLight16"/>
  <colors>
    <mruColors>
      <color rgb="FF008A3E"/>
      <color rgb="FF2C7688"/>
      <color rgb="FF31869B"/>
      <color rgb="FF318499"/>
      <color rgb="FF2A6E7E"/>
      <color rgb="FF225B68"/>
      <color rgb="FF007E39"/>
      <color rgb="FF00B050"/>
      <color rgb="FF006C31"/>
      <color rgb="FFEDF7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7" Type="http://schemas.openxmlformats.org/officeDocument/2006/relationships/image" Target="../media/image12.jpg"/><Relationship Id="rId2" Type="http://schemas.openxmlformats.org/officeDocument/2006/relationships/image" Target="../media/image7.jpg"/><Relationship Id="rId1" Type="http://schemas.openxmlformats.org/officeDocument/2006/relationships/image" Target="../media/image6.jpg"/><Relationship Id="rId6" Type="http://schemas.openxmlformats.org/officeDocument/2006/relationships/image" Target="../media/image11.jpg"/><Relationship Id="rId5" Type="http://schemas.openxmlformats.org/officeDocument/2006/relationships/image" Target="../media/image10.jpg"/><Relationship Id="rId4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161925</xdr:rowOff>
    </xdr:from>
    <xdr:to>
      <xdr:col>15</xdr:col>
      <xdr:colOff>113513</xdr:colOff>
      <xdr:row>21</xdr:row>
      <xdr:rowOff>170973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E4383D-B4E9-FF7B-0402-23028792F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2275" y="352425"/>
          <a:ext cx="6295238" cy="38190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114097</xdr:colOff>
      <xdr:row>1</xdr:row>
      <xdr:rowOff>39225</xdr:rowOff>
    </xdr:from>
    <xdr:to>
      <xdr:col>13</xdr:col>
      <xdr:colOff>397927</xdr:colOff>
      <xdr:row>3</xdr:row>
      <xdr:rowOff>43149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52645" y="131402"/>
          <a:ext cx="724233" cy="679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</xdr:row>
          <xdr:rowOff>28575</xdr:rowOff>
        </xdr:from>
        <xdr:to>
          <xdr:col>2</xdr:col>
          <xdr:colOff>371475</xdr:colOff>
          <xdr:row>3</xdr:row>
          <xdr:rowOff>28575</xdr:rowOff>
        </xdr:to>
        <xdr:sp macro="" textlink="">
          <xdr:nvSpPr>
            <xdr:cNvPr id="2082" name="imgBValueLogo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38100</xdr:colOff>
          <xdr:row>7</xdr:row>
          <xdr:rowOff>66675</xdr:rowOff>
        </xdr:from>
        <xdr:to>
          <xdr:col>10</xdr:col>
          <xdr:colOff>47625</xdr:colOff>
          <xdr:row>8</xdr:row>
          <xdr:rowOff>161925</xdr:rowOff>
        </xdr:to>
        <xdr:sp macro="" textlink="">
          <xdr:nvSpPr>
            <xdr:cNvPr id="2084" name="optYes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85725</xdr:colOff>
          <xdr:row>7</xdr:row>
          <xdr:rowOff>66675</xdr:rowOff>
        </xdr:from>
        <xdr:to>
          <xdr:col>10</xdr:col>
          <xdr:colOff>590550</xdr:colOff>
          <xdr:row>8</xdr:row>
          <xdr:rowOff>171450</xdr:rowOff>
        </xdr:to>
        <xdr:sp macro="" textlink="">
          <xdr:nvSpPr>
            <xdr:cNvPr id="2085" name="optNo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152401</xdr:colOff>
      <xdr:row>1</xdr:row>
      <xdr:rowOff>18753</xdr:rowOff>
    </xdr:from>
    <xdr:to>
      <xdr:col>10</xdr:col>
      <xdr:colOff>764973</xdr:colOff>
      <xdr:row>2</xdr:row>
      <xdr:rowOff>174720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5926" y="123528"/>
          <a:ext cx="612572" cy="5750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333375</xdr:colOff>
      <xdr:row>1</xdr:row>
      <xdr:rowOff>85725</xdr:rowOff>
    </xdr:from>
    <xdr:to>
      <xdr:col>2</xdr:col>
      <xdr:colOff>1552575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90500"/>
          <a:ext cx="2505075" cy="590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14</xdr:col>
      <xdr:colOff>457200</xdr:colOff>
      <xdr:row>15</xdr:row>
      <xdr:rowOff>12419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AC7B8E-AC0E-66A8-AB62-C0B16FB7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28699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14</xdr:col>
      <xdr:colOff>457200</xdr:colOff>
      <xdr:row>33</xdr:row>
      <xdr:rowOff>28575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FBA3D72-BCC5-5B85-2B54-DD6E8EFF0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2857500"/>
          <a:ext cx="7772400" cy="3457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17</xdr:col>
      <xdr:colOff>457200</xdr:colOff>
      <xdr:row>21</xdr:row>
      <xdr:rowOff>121023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9D7CA8-B4A5-2F1A-8FDD-317377951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0"/>
          <a:ext cx="7772400" cy="412152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21</xdr:row>
      <xdr:rowOff>133350</xdr:rowOff>
    </xdr:from>
    <xdr:to>
      <xdr:col>17</xdr:col>
      <xdr:colOff>466725</xdr:colOff>
      <xdr:row>31</xdr:row>
      <xdr:rowOff>75722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F3D9F0-58D6-86D5-11EB-B83A1EA2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4133850"/>
          <a:ext cx="7772400" cy="184737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11</xdr:col>
      <xdr:colOff>523875</xdr:colOff>
      <xdr:row>53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1FC62DE-C612-5405-7A24-165FA0B32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6096000"/>
          <a:ext cx="4181475" cy="4000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</xdr:row>
      <xdr:rowOff>0</xdr:rowOff>
    </xdr:from>
    <xdr:to>
      <xdr:col>18</xdr:col>
      <xdr:colOff>514350</xdr:colOff>
      <xdr:row>44</xdr:row>
      <xdr:rowOff>76200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3F3092C-0A7A-A662-E018-02AE90564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6096000"/>
          <a:ext cx="4171950" cy="2362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17</xdr:col>
      <xdr:colOff>457200</xdr:colOff>
      <xdr:row>75</xdr:row>
      <xdr:rowOff>58829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DDF47D1-F924-0631-45DE-E5CBE5A98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10287000"/>
          <a:ext cx="7772400" cy="405932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75</xdr:row>
      <xdr:rowOff>0</xdr:rowOff>
    </xdr:from>
    <xdr:to>
      <xdr:col>17</xdr:col>
      <xdr:colOff>457200</xdr:colOff>
      <xdr:row>86</xdr:row>
      <xdr:rowOff>142009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2F9236B-D323-0285-58B3-38927B4A7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14287500"/>
          <a:ext cx="7772400" cy="223750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87</xdr:row>
      <xdr:rowOff>0</xdr:rowOff>
    </xdr:from>
    <xdr:to>
      <xdr:col>17</xdr:col>
      <xdr:colOff>457200</xdr:colOff>
      <xdr:row>105</xdr:row>
      <xdr:rowOff>40037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D0ACF5B-D3B8-4EED-D886-98DFB5E7E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16573500"/>
          <a:ext cx="7772400" cy="34690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E4200-6FBD-44D4-9618-91BFC2EB5A73}">
  <sheetPr codeName="Sheet5">
    <tabColor rgb="FF008A3E"/>
  </sheetPr>
  <dimension ref="E1:P23"/>
  <sheetViews>
    <sheetView showGridLines="0" showRowColHeaders="0" workbookViewId="0">
      <selection activeCell="E25" sqref="E25"/>
    </sheetView>
  </sheetViews>
  <sheetFormatPr defaultRowHeight="15"/>
  <sheetData>
    <row r="1" spans="5:16"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</row>
    <row r="2" spans="5:16"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</row>
    <row r="3" spans="5:16"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</row>
    <row r="4" spans="5:16"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</row>
    <row r="5" spans="5:16"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</row>
    <row r="6" spans="5:16"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4"/>
      <c r="P6" s="544"/>
    </row>
    <row r="7" spans="5:16">
      <c r="E7" s="544"/>
      <c r="F7" s="544"/>
      <c r="G7" s="544"/>
      <c r="H7" s="544"/>
      <c r="I7" s="544"/>
      <c r="J7" s="544"/>
      <c r="K7" s="544"/>
      <c r="L7" s="544"/>
      <c r="M7" s="544"/>
      <c r="N7" s="544"/>
      <c r="O7" s="544"/>
      <c r="P7" s="544"/>
    </row>
    <row r="8" spans="5:16">
      <c r="E8" s="544"/>
      <c r="F8" s="544"/>
      <c r="G8" s="544"/>
      <c r="H8" s="544"/>
      <c r="I8" s="544"/>
      <c r="J8" s="544"/>
      <c r="K8" s="544"/>
      <c r="L8" s="544"/>
      <c r="M8" s="544"/>
      <c r="N8" s="544"/>
      <c r="O8" s="544"/>
      <c r="P8" s="544"/>
    </row>
    <row r="9" spans="5:16">
      <c r="E9" s="544"/>
      <c r="F9" s="544"/>
      <c r="G9" s="544"/>
      <c r="H9" s="544"/>
      <c r="I9" s="544"/>
      <c r="J9" s="544"/>
      <c r="K9" s="544"/>
      <c r="L9" s="544"/>
      <c r="M9" s="544"/>
      <c r="N9" s="544"/>
      <c r="O9" s="544"/>
      <c r="P9" s="544"/>
    </row>
    <row r="10" spans="5:16"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4"/>
    </row>
    <row r="11" spans="5:16">
      <c r="E11" s="544"/>
      <c r="F11" s="544"/>
      <c r="G11" s="544"/>
      <c r="H11" s="544"/>
      <c r="I11" s="544"/>
      <c r="J11" s="544"/>
      <c r="K11" s="544"/>
      <c r="L11" s="544"/>
      <c r="M11" s="544"/>
      <c r="N11" s="544"/>
      <c r="O11" s="544"/>
      <c r="P11" s="544"/>
    </row>
    <row r="12" spans="5:16">
      <c r="E12" s="544"/>
      <c r="F12" s="544"/>
      <c r="G12" s="544"/>
      <c r="H12" s="544"/>
      <c r="I12" s="544"/>
      <c r="J12" s="544"/>
      <c r="K12" s="544"/>
      <c r="L12" s="544"/>
      <c r="M12" s="544"/>
      <c r="N12" s="544"/>
      <c r="O12" s="544"/>
      <c r="P12" s="544"/>
    </row>
    <row r="13" spans="5:16"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</row>
    <row r="14" spans="5:16"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</row>
    <row r="15" spans="5:16">
      <c r="E15" s="544"/>
      <c r="F15" s="544"/>
      <c r="G15" s="544"/>
      <c r="H15" s="544"/>
      <c r="I15" s="544"/>
      <c r="J15" s="544"/>
      <c r="K15" s="544"/>
      <c r="L15" s="544"/>
      <c r="M15" s="544"/>
      <c r="N15" s="544"/>
      <c r="O15" s="544"/>
      <c r="P15" s="544"/>
    </row>
    <row r="16" spans="5:16">
      <c r="E16" s="544"/>
      <c r="F16" s="544"/>
      <c r="G16" s="544"/>
      <c r="H16" s="544"/>
      <c r="I16" s="544"/>
      <c r="J16" s="544"/>
      <c r="K16" s="544"/>
      <c r="L16" s="544"/>
      <c r="M16" s="544"/>
      <c r="N16" s="544"/>
      <c r="O16" s="544"/>
      <c r="P16" s="544"/>
    </row>
    <row r="17" spans="5:16">
      <c r="E17" s="544"/>
      <c r="F17" s="544"/>
      <c r="G17" s="544"/>
      <c r="H17" s="544"/>
      <c r="I17" s="544"/>
      <c r="J17" s="544"/>
      <c r="K17" s="544"/>
      <c r="L17" s="544"/>
      <c r="M17" s="544"/>
      <c r="N17" s="544"/>
      <c r="O17" s="544"/>
      <c r="P17" s="544"/>
    </row>
    <row r="18" spans="5:16">
      <c r="E18" s="544"/>
      <c r="F18" s="544"/>
      <c r="G18" s="544"/>
      <c r="H18" s="544"/>
      <c r="I18" s="544"/>
      <c r="J18" s="544"/>
      <c r="K18" s="544"/>
      <c r="L18" s="544"/>
      <c r="M18" s="544"/>
      <c r="N18" s="544"/>
      <c r="O18" s="544"/>
      <c r="P18" s="544"/>
    </row>
    <row r="19" spans="5:16">
      <c r="E19" s="544"/>
      <c r="F19" s="544"/>
      <c r="G19" s="544"/>
      <c r="H19" s="544"/>
      <c r="I19" s="544"/>
      <c r="J19" s="544"/>
      <c r="K19" s="544"/>
      <c r="L19" s="544"/>
      <c r="M19" s="544"/>
      <c r="N19" s="544"/>
      <c r="O19" s="544"/>
      <c r="P19" s="544"/>
    </row>
    <row r="20" spans="5:16">
      <c r="E20" s="544"/>
      <c r="F20" s="544"/>
      <c r="G20" s="544"/>
      <c r="H20" s="544"/>
      <c r="I20" s="544"/>
      <c r="J20" s="544"/>
      <c r="K20" s="544"/>
      <c r="L20" s="544"/>
      <c r="M20" s="544"/>
      <c r="N20" s="544"/>
      <c r="O20" s="544"/>
      <c r="P20" s="544"/>
    </row>
    <row r="21" spans="5:16">
      <c r="E21" s="544"/>
      <c r="F21" s="544"/>
      <c r="G21" s="544"/>
      <c r="H21" s="544"/>
      <c r="I21" s="544"/>
      <c r="J21" s="544"/>
      <c r="K21" s="544"/>
      <c r="L21" s="544"/>
      <c r="M21" s="544"/>
      <c r="N21" s="544"/>
      <c r="O21" s="544"/>
      <c r="P21" s="544"/>
    </row>
    <row r="22" spans="5:16">
      <c r="E22" s="544"/>
      <c r="F22" s="544"/>
      <c r="G22" s="544"/>
      <c r="H22" s="544"/>
      <c r="I22" s="544"/>
      <c r="J22" s="544"/>
      <c r="K22" s="544"/>
      <c r="L22" s="544"/>
      <c r="M22" s="544"/>
      <c r="N22" s="544"/>
      <c r="O22" s="544"/>
      <c r="P22" s="544"/>
    </row>
    <row r="23" spans="5:16">
      <c r="E23" s="544"/>
      <c r="F23" s="544"/>
      <c r="G23" s="544"/>
      <c r="H23" s="544"/>
      <c r="I23" s="544"/>
      <c r="J23" s="544"/>
      <c r="K23" s="544"/>
      <c r="L23" s="544"/>
      <c r="M23" s="544"/>
      <c r="N23" s="544"/>
      <c r="O23" s="544"/>
      <c r="P23" s="544"/>
    </row>
  </sheetData>
  <sheetProtection algorithmName="SHA-512" hashValue="ZICHbVUAWPhb1zj8WDxnALCGSHQEbuobKxqSgPAXtWtJqha7ZMkBkYz1o9Cwxv+OFlv5O8gQ5mb0UuVaidR13w==" saltValue="0NV3pi+s5SRJBTZgfvQUfg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3CFE"/>
    <pageSetUpPr autoPageBreaks="0"/>
  </sheetPr>
  <dimension ref="A1:AH162"/>
  <sheetViews>
    <sheetView showGridLines="0" showRowColHeaders="0" tabSelected="1" zoomScale="93" zoomScaleNormal="93" workbookViewId="0">
      <pane ySplit="4" topLeftCell="A5" activePane="bottomLeft" state="frozen"/>
      <selection pane="bottomLeft" activeCell="J15" sqref="J15:M15"/>
    </sheetView>
  </sheetViews>
  <sheetFormatPr defaultRowHeight="15"/>
  <cols>
    <col min="1" max="1" width="2.7109375" customWidth="1"/>
    <col min="2" max="2" width="34.42578125" customWidth="1"/>
    <col min="3" max="3" width="10.140625" customWidth="1"/>
    <col min="4" max="4" width="11.7109375" customWidth="1"/>
    <col min="5" max="5" width="15.140625" customWidth="1"/>
    <col min="6" max="6" width="34.42578125" customWidth="1"/>
    <col min="7" max="7" width="10.140625" customWidth="1"/>
    <col min="8" max="8" width="11.7109375" customWidth="1"/>
    <col min="9" max="9" width="15.140625" customWidth="1"/>
    <col min="10" max="10" width="8.7109375" customWidth="1"/>
    <col min="11" max="11" width="11.5703125" bestFit="1" customWidth="1"/>
    <col min="12" max="12" width="12.28515625" customWidth="1"/>
    <col min="13" max="13" width="6.5703125" customWidth="1"/>
    <col min="14" max="14" width="20.5703125" customWidth="1"/>
    <col min="15" max="16" width="3.42578125" customWidth="1"/>
    <col min="17" max="17" width="18.140625" hidden="1" customWidth="1"/>
    <col min="18" max="18" width="11.5703125" hidden="1" customWidth="1"/>
    <col min="19" max="34" width="9.140625" hidden="1" customWidth="1"/>
  </cols>
  <sheetData>
    <row r="1" spans="1:30" ht="7.5" customHeight="1">
      <c r="D1" s="666" t="str">
        <f>+R5 &amp; " " &amp;V5</f>
        <v>2025 BayerValue™  Rebate Calculator</v>
      </c>
      <c r="E1" s="666"/>
      <c r="F1" s="666"/>
    </row>
    <row r="2" spans="1:30" ht="36.75" customHeight="1">
      <c r="D2" s="666"/>
      <c r="E2" s="666"/>
      <c r="F2" s="666"/>
      <c r="G2" s="374"/>
      <c r="H2" s="374"/>
      <c r="K2" s="3"/>
      <c r="M2" s="609"/>
      <c r="N2" s="610"/>
      <c r="AA2" s="188" t="str">
        <f>+R5 &amp; " " &amp;V5</f>
        <v>2025 BayerValue™  Rebate Calculator</v>
      </c>
      <c r="AB2" s="189"/>
      <c r="AC2" s="189"/>
      <c r="AD2" s="189"/>
    </row>
    <row r="3" spans="1:30" ht="15.75">
      <c r="D3" s="667" t="s">
        <v>0</v>
      </c>
      <c r="E3" s="738"/>
      <c r="F3" s="738"/>
      <c r="G3" s="375"/>
      <c r="H3" s="375"/>
      <c r="M3" s="611"/>
      <c r="N3" s="611"/>
    </row>
    <row r="4" spans="1:30" ht="11.25" customHeight="1">
      <c r="B4" s="4"/>
      <c r="D4" s="667" t="s">
        <v>1</v>
      </c>
      <c r="E4" s="738"/>
      <c r="F4" s="738"/>
      <c r="G4" s="375"/>
      <c r="H4" s="375"/>
      <c r="M4" s="2"/>
      <c r="N4" s="2"/>
    </row>
    <row r="5" spans="1:30" ht="19.5" customHeight="1">
      <c r="A5" s="435"/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614" t="s">
        <v>2</v>
      </c>
      <c r="N5" s="614"/>
      <c r="O5" s="435"/>
      <c r="P5" s="435"/>
      <c r="R5" s="186" t="s">
        <v>3</v>
      </c>
      <c r="S5" s="186"/>
      <c r="U5" s="186"/>
      <c r="V5" s="186" t="s">
        <v>4</v>
      </c>
      <c r="AA5" t="s">
        <v>5</v>
      </c>
    </row>
    <row r="6" spans="1:30" ht="16.5" customHeight="1">
      <c r="A6" s="435"/>
      <c r="B6" s="439" t="s">
        <v>6</v>
      </c>
      <c r="C6" s="739"/>
      <c r="D6" s="740"/>
      <c r="E6" s="740"/>
      <c r="F6" s="741"/>
      <c r="G6" s="435"/>
      <c r="H6" s="435"/>
      <c r="I6" s="435"/>
      <c r="J6" s="435"/>
      <c r="K6" s="440" t="s">
        <v>7</v>
      </c>
      <c r="L6" s="436"/>
      <c r="M6" s="612"/>
      <c r="N6" s="613"/>
      <c r="O6" s="435"/>
      <c r="P6" s="435"/>
      <c r="R6" s="187">
        <f ca="1">TODAY()</f>
        <v>45638</v>
      </c>
      <c r="AA6" t="s">
        <v>8</v>
      </c>
    </row>
    <row r="7" spans="1:30" ht="13.5" customHeight="1">
      <c r="A7" s="435"/>
      <c r="B7" s="435"/>
      <c r="C7" s="435"/>
      <c r="D7" s="435"/>
      <c r="E7" s="435"/>
      <c r="F7" s="435"/>
      <c r="G7" s="435"/>
      <c r="H7" s="435"/>
      <c r="I7" s="435"/>
      <c r="J7" s="435"/>
      <c r="K7" s="435"/>
      <c r="L7" s="435"/>
      <c r="M7" s="435"/>
      <c r="N7" s="473"/>
      <c r="O7" s="435"/>
      <c r="P7" s="435"/>
    </row>
    <row r="8" spans="1:30" ht="15" customHeight="1">
      <c r="A8" s="435"/>
      <c r="B8" s="441"/>
      <c r="C8" s="442"/>
      <c r="D8" s="435"/>
      <c r="E8" s="438"/>
      <c r="F8" s="435"/>
      <c r="G8" s="630" t="s">
        <v>9</v>
      </c>
      <c r="H8" s="631"/>
      <c r="I8" s="631"/>
      <c r="J8" s="435"/>
      <c r="K8" s="435"/>
      <c r="L8" s="435"/>
      <c r="M8" s="435"/>
      <c r="N8" s="435"/>
      <c r="O8" s="435"/>
      <c r="P8" s="435"/>
    </row>
    <row r="9" spans="1:30" ht="15.75" customHeight="1">
      <c r="A9" s="435"/>
      <c r="B9" s="435"/>
      <c r="C9" s="435"/>
      <c r="D9" s="435"/>
      <c r="E9" s="435"/>
      <c r="F9" s="435"/>
      <c r="G9" s="631"/>
      <c r="H9" s="631"/>
      <c r="I9" s="631"/>
      <c r="J9" s="435"/>
      <c r="K9" s="435"/>
      <c r="L9" s="435"/>
      <c r="M9" s="435"/>
      <c r="N9" s="435"/>
      <c r="O9" s="435"/>
      <c r="P9" s="435"/>
    </row>
    <row r="10" spans="1:30" ht="21" customHeight="1">
      <c r="A10" s="435"/>
      <c r="B10" s="437" t="str">
        <f>+AA5</f>
        <v>BayerValue™ East Rewards Program - Enter Purchases</v>
      </c>
      <c r="C10" s="435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435"/>
      <c r="O10" s="435"/>
      <c r="P10" s="435"/>
    </row>
    <row r="11" spans="1:30" ht="15.75" customHeight="1">
      <c r="A11" s="435"/>
      <c r="B11" s="619" t="s">
        <v>10</v>
      </c>
      <c r="C11" s="250" t="s">
        <v>11</v>
      </c>
      <c r="D11" s="628"/>
      <c r="E11" s="629"/>
      <c r="F11" s="619" t="s">
        <v>10</v>
      </c>
      <c r="G11" s="250" t="s">
        <v>11</v>
      </c>
      <c r="H11" s="628"/>
      <c r="I11" s="629"/>
      <c r="J11" s="618"/>
      <c r="K11" s="618"/>
      <c r="L11" s="618"/>
      <c r="M11" s="618"/>
      <c r="N11" s="618"/>
      <c r="O11" s="618"/>
      <c r="P11" s="435"/>
    </row>
    <row r="12" spans="1:30" ht="32.25" customHeight="1">
      <c r="A12" s="435"/>
      <c r="B12" s="742"/>
      <c r="C12" s="482" t="s">
        <v>12</v>
      </c>
      <c r="D12" s="482" t="s">
        <v>13</v>
      </c>
      <c r="E12" s="482" t="s">
        <v>14</v>
      </c>
      <c r="F12" s="742"/>
      <c r="G12" s="482" t="s">
        <v>12</v>
      </c>
      <c r="H12" s="482" t="s">
        <v>13</v>
      </c>
      <c r="I12" s="482" t="s">
        <v>14</v>
      </c>
      <c r="J12" s="618"/>
      <c r="K12" s="618"/>
      <c r="L12" s="618"/>
      <c r="M12" s="618"/>
      <c r="N12" s="618"/>
      <c r="O12" s="618"/>
      <c r="P12" s="435"/>
      <c r="R12" s="186" t="s">
        <v>15</v>
      </c>
    </row>
    <row r="13" spans="1:30" ht="15.75" customHeight="1">
      <c r="A13" s="552" t="s">
        <v>16</v>
      </c>
      <c r="B13" s="384" t="str">
        <f>+Pkge!B108</f>
        <v>BUCTRIL® M (8 L)</v>
      </c>
      <c r="C13" s="249"/>
      <c r="D13" s="196">
        <f>+Pkge!G108</f>
        <v>0</v>
      </c>
      <c r="E13" s="197">
        <f>+Pkge!I108</f>
        <v>0</v>
      </c>
      <c r="F13" s="384" t="str">
        <f>+Pkge!B148</f>
        <v>ROUNDUP TRANSORB® HC (450 L)</v>
      </c>
      <c r="G13" s="195"/>
      <c r="H13" s="196">
        <f>+Pkge!G148</f>
        <v>0</v>
      </c>
      <c r="I13" s="197">
        <f>+Pkge!I148</f>
        <v>0</v>
      </c>
      <c r="J13" s="557" t="str">
        <f>+B74</f>
        <v>Total Trait Acres</v>
      </c>
      <c r="K13" s="558"/>
      <c r="L13" s="558"/>
      <c r="M13" s="559"/>
      <c r="N13" s="443">
        <f>+D74</f>
        <v>0</v>
      </c>
      <c r="O13" s="444"/>
      <c r="P13" s="435"/>
      <c r="R13" t="str">
        <f>+R12 &amp;V5</f>
        <v>2024 BayerValue™Rebate Calculator</v>
      </c>
    </row>
    <row r="14" spans="1:30" ht="15" customHeight="1">
      <c r="A14" s="743"/>
      <c r="B14" s="384" t="str">
        <f>+Pkge!B109</f>
        <v>BUCTRIL® M (400 L)</v>
      </c>
      <c r="C14" s="249"/>
      <c r="D14" s="196">
        <f>+Pkge!G109</f>
        <v>0</v>
      </c>
      <c r="E14" s="197">
        <f>+Pkge!I109</f>
        <v>0</v>
      </c>
      <c r="F14" s="384" t="str">
        <f>+Pkge!B149</f>
        <v>ROUNDUP TRANSORB® HC (800 L)</v>
      </c>
      <c r="G14" s="195"/>
      <c r="H14" s="196">
        <f>+Pkge!G149</f>
        <v>0</v>
      </c>
      <c r="I14" s="412">
        <f>+Pkge!I149</f>
        <v>0</v>
      </c>
      <c r="J14" s="444"/>
      <c r="K14" s="548"/>
      <c r="L14" s="548"/>
      <c r="M14" s="548"/>
      <c r="N14" s="548"/>
      <c r="O14" s="548"/>
      <c r="P14" s="435"/>
      <c r="R14" t="s">
        <v>17</v>
      </c>
    </row>
    <row r="15" spans="1:30" ht="15.75" customHeight="1">
      <c r="A15" s="743"/>
      <c r="B15" s="384" t="str">
        <f>+Pkge!B110</f>
        <v>CONVERGE® FLEXX (2.64 L)</v>
      </c>
      <c r="C15" s="249"/>
      <c r="D15" s="196">
        <f>+Pkge!G110</f>
        <v>0</v>
      </c>
      <c r="E15" s="197">
        <f>+Pkge!I110</f>
        <v>0</v>
      </c>
      <c r="F15" s="384" t="str">
        <f>+Pkge!B150</f>
        <v>ROUNDUP WEATHERMAX® (10 L)</v>
      </c>
      <c r="G15" s="195"/>
      <c r="H15" s="196">
        <f>+Pkge!G150</f>
        <v>0</v>
      </c>
      <c r="I15" s="412">
        <f>+Pkge!I150</f>
        <v>0</v>
      </c>
      <c r="J15" s="557" t="s">
        <v>18</v>
      </c>
      <c r="K15" s="558"/>
      <c r="L15" s="558"/>
      <c r="M15" s="559"/>
      <c r="N15" s="549">
        <f>+Pkge!AC144</f>
        <v>0</v>
      </c>
      <c r="O15" s="550"/>
      <c r="P15" s="435"/>
    </row>
    <row r="16" spans="1:30" ht="15.75">
      <c r="A16" s="743"/>
      <c r="B16" s="384" t="str">
        <f>+Pkge!B111</f>
        <v>CONVERGE® XT (2.64 L + 13.3 L)</v>
      </c>
      <c r="C16" s="249"/>
      <c r="D16" s="196">
        <f>+Pkge!G111</f>
        <v>0</v>
      </c>
      <c r="E16" s="197">
        <f>+Pkge!I111</f>
        <v>0</v>
      </c>
      <c r="F16" s="384" t="str">
        <f>+Pkge!B151</f>
        <v>ROUNDUP WEATHERMAX® (115 L)</v>
      </c>
      <c r="G16" s="195"/>
      <c r="H16" s="196">
        <f>+Pkge!G151</f>
        <v>0</v>
      </c>
      <c r="I16" s="197">
        <f>+Pkge!I151</f>
        <v>0</v>
      </c>
      <c r="J16" s="551"/>
      <c r="K16" s="550"/>
      <c r="L16" s="550"/>
      <c r="M16" s="550"/>
      <c r="N16" s="550"/>
      <c r="O16" s="550"/>
      <c r="P16" s="435"/>
      <c r="R16" t="s">
        <v>19</v>
      </c>
      <c r="U16" s="304" t="b">
        <v>0</v>
      </c>
      <c r="W16" t="s">
        <v>20</v>
      </c>
      <c r="Y16" s="258">
        <v>499</v>
      </c>
    </row>
    <row r="17" spans="1:21">
      <c r="A17" s="743"/>
      <c r="B17" s="384" t="str">
        <f>+Pkge!B143</f>
        <v>CORVUS® (4 L)</v>
      </c>
      <c r="C17" s="249"/>
      <c r="D17" s="196">
        <f>+Pkge!G143</f>
        <v>0</v>
      </c>
      <c r="E17" s="197">
        <f>+Pkge!I143</f>
        <v>0</v>
      </c>
      <c r="F17" s="384" t="str">
        <f>+Pkge!B152</f>
        <v>ROUNDUP WEATHERMAX® (450 L)</v>
      </c>
      <c r="G17" s="195"/>
      <c r="H17" s="196">
        <f>+Pkge!G152</f>
        <v>0</v>
      </c>
      <c r="I17" s="197">
        <f>+Pkge!I152</f>
        <v>0</v>
      </c>
      <c r="J17" s="435"/>
      <c r="K17" s="435"/>
      <c r="L17" s="435"/>
      <c r="M17" s="435"/>
      <c r="N17" s="435"/>
      <c r="O17" s="435"/>
      <c r="P17" s="435"/>
      <c r="R17" t="s">
        <v>21</v>
      </c>
      <c r="U17" s="304" t="b">
        <v>1</v>
      </c>
    </row>
    <row r="18" spans="1:21">
      <c r="A18" s="743"/>
      <c r="B18" s="384" t="str">
        <f>+Pkge!B112</f>
        <v>DELARO®  COMPLETE (7.11 L)</v>
      </c>
      <c r="C18" s="249"/>
      <c r="D18" s="196">
        <f>+Pkge!G112</f>
        <v>0</v>
      </c>
      <c r="E18" s="197">
        <f>+Pkge!I112</f>
        <v>0</v>
      </c>
      <c r="F18" s="384" t="str">
        <f>+Pkge!B153</f>
        <v>ROUNDUP WEATHERMAX® (800 L)</v>
      </c>
      <c r="G18" s="195"/>
      <c r="H18" s="196">
        <f>+Pkge!G153</f>
        <v>0</v>
      </c>
      <c r="I18" s="197">
        <f>+Pkge!I153</f>
        <v>0</v>
      </c>
      <c r="J18" s="435"/>
      <c r="K18" s="435"/>
      <c r="L18" s="435"/>
      <c r="M18" s="435"/>
      <c r="N18" s="435"/>
      <c r="O18" s="435"/>
      <c r="P18" s="435"/>
    </row>
    <row r="19" spans="1:21" ht="15" customHeight="1">
      <c r="A19" s="743"/>
      <c r="B19" s="384" t="str">
        <f>+Pkge!B144</f>
        <v>DELARO®  COMPLETE (113.8 L)</v>
      </c>
      <c r="C19" s="249"/>
      <c r="D19" s="196">
        <f>+Pkge!G144</f>
        <v>0</v>
      </c>
      <c r="E19" s="197">
        <f>+Pkge!I144</f>
        <v>0</v>
      </c>
      <c r="F19" s="384" t="str">
        <f>+Pkge!AB123</f>
        <v>ROUNDUP XTEND® (10 L)</v>
      </c>
      <c r="G19" s="195"/>
      <c r="H19" s="196">
        <f>+Pkge!G123</f>
        <v>0</v>
      </c>
      <c r="I19" s="197">
        <f>+Pkge!I123</f>
        <v>0</v>
      </c>
      <c r="J19" s="435"/>
      <c r="K19" s="435"/>
      <c r="L19" s="435"/>
      <c r="M19" s="435"/>
      <c r="N19" s="435"/>
      <c r="O19" s="435"/>
      <c r="P19" s="435"/>
    </row>
    <row r="20" spans="1:21" ht="15.75" customHeight="1">
      <c r="A20" s="743"/>
      <c r="B20" s="384" t="str">
        <f>+Pkge!B115</f>
        <v>INFINITY® (6.7 L)</v>
      </c>
      <c r="C20" s="249"/>
      <c r="D20" s="196">
        <f>+Pkge!G115</f>
        <v>0</v>
      </c>
      <c r="E20" s="197">
        <f>+Pkge!I115</f>
        <v>0</v>
      </c>
      <c r="F20" s="384" t="str">
        <f>+Pkge!AB124</f>
        <v>ROUNDUP XTEND® (450 L)</v>
      </c>
      <c r="G20" s="195"/>
      <c r="H20" s="196">
        <f>+Pkge!G124</f>
        <v>0</v>
      </c>
      <c r="I20" s="197">
        <f>+Pkge!I124</f>
        <v>0</v>
      </c>
      <c r="J20" s="435"/>
      <c r="K20" s="435"/>
      <c r="L20" s="435"/>
      <c r="M20" s="435"/>
      <c r="N20" s="435"/>
      <c r="O20" s="435"/>
      <c r="P20" s="435"/>
    </row>
    <row r="21" spans="1:21" ht="15.75" customHeight="1">
      <c r="A21" s="743"/>
      <c r="B21" s="384" t="str">
        <f>+Pkge!B116</f>
        <v>INFINITY® (335 L)</v>
      </c>
      <c r="C21" s="249"/>
      <c r="D21" s="196">
        <f>+Pkge!G116</f>
        <v>0</v>
      </c>
      <c r="E21" s="197">
        <f>+Pkge!I116</f>
        <v>0</v>
      </c>
      <c r="F21" s="384" t="str">
        <f>+Pkge!AB125</f>
        <v>ROUNDUP XTEND® 2 (10 L)</v>
      </c>
      <c r="G21" s="195"/>
      <c r="H21" s="196">
        <f>+Pkge!G125</f>
        <v>0</v>
      </c>
      <c r="I21" s="197">
        <f>+Pkge!I125</f>
        <v>0</v>
      </c>
      <c r="J21" s="435"/>
      <c r="K21" s="435"/>
      <c r="L21" s="435"/>
      <c r="M21" s="435"/>
      <c r="N21" s="435"/>
      <c r="O21" s="435"/>
      <c r="P21" s="435"/>
    </row>
    <row r="22" spans="1:21" ht="15.75" customHeight="1">
      <c r="A22" s="743"/>
      <c r="B22" s="384" t="str">
        <f>+Pkge!B113</f>
        <v>INFINITY® FX (8.1 L)</v>
      </c>
      <c r="C22" s="249"/>
      <c r="D22" s="196">
        <f>+Pkge!G113</f>
        <v>0</v>
      </c>
      <c r="E22" s="197">
        <f>+Pkge!I113</f>
        <v>0</v>
      </c>
      <c r="F22" s="384" t="str">
        <f>+Pkge!AB126</f>
        <v>ROUNDUP XTEND® 2 (450 L)</v>
      </c>
      <c r="G22" s="195"/>
      <c r="H22" s="196">
        <f>+Pkge!G126</f>
        <v>0</v>
      </c>
      <c r="I22" s="197">
        <f>+Pkge!I126</f>
        <v>0</v>
      </c>
      <c r="J22" s="435"/>
      <c r="K22" s="435"/>
      <c r="L22" s="435"/>
      <c r="M22" s="435"/>
      <c r="N22" s="435"/>
      <c r="O22" s="435"/>
      <c r="P22" s="435"/>
    </row>
    <row r="23" spans="1:21">
      <c r="A23" s="743"/>
      <c r="B23" s="384" t="str">
        <f>+Pkge!B114</f>
        <v>INFINITY® FX (405 L)</v>
      </c>
      <c r="C23" s="249"/>
      <c r="D23" s="196">
        <f>+Pkge!G114</f>
        <v>0</v>
      </c>
      <c r="E23" s="197">
        <f>+Pkge!I114</f>
        <v>0</v>
      </c>
      <c r="F23" s="384" t="str">
        <f>Pkge!$B$140</f>
        <v>SENCOR® 480 (5 L)</v>
      </c>
      <c r="G23" s="195"/>
      <c r="H23" s="196">
        <f>+Pkge!G140</f>
        <v>0</v>
      </c>
      <c r="I23" s="197">
        <f>+Pkge!I140</f>
        <v>0</v>
      </c>
      <c r="J23" s="435"/>
      <c r="K23" s="435"/>
      <c r="L23" s="435"/>
      <c r="M23" s="435"/>
      <c r="N23" s="435"/>
      <c r="O23" s="435"/>
      <c r="P23" s="435"/>
    </row>
    <row r="24" spans="1:21" ht="15.75" customHeight="1">
      <c r="A24" s="743"/>
      <c r="B24" s="384" t="str">
        <f>Pkge!$B$137</f>
        <v>LAUDIS® (3.6 L)</v>
      </c>
      <c r="C24" s="249"/>
      <c r="D24" s="196">
        <f>+Pkge!G137</f>
        <v>0</v>
      </c>
      <c r="E24" s="197">
        <f>+Pkge!I137</f>
        <v>0</v>
      </c>
      <c r="F24" s="384" t="str">
        <f>Pkge!$B$142</f>
        <v>SENCOR® 75DF (2.5 KG)</v>
      </c>
      <c r="G24" s="195"/>
      <c r="H24" s="196">
        <f>+Pkge!G142</f>
        <v>0</v>
      </c>
      <c r="I24" s="197">
        <f>+Pkge!I142</f>
        <v>0</v>
      </c>
      <c r="J24" s="435"/>
      <c r="K24" s="435"/>
      <c r="L24" s="435"/>
      <c r="M24" s="435"/>
      <c r="N24" s="435"/>
      <c r="O24" s="435"/>
      <c r="P24" s="435"/>
    </row>
    <row r="25" spans="1:21" ht="15.75" customHeight="1">
      <c r="A25" s="743"/>
      <c r="B25" s="384" t="str">
        <f>Pkge!$B$117</f>
        <v>OPTION® LIQUID (6.3 L)</v>
      </c>
      <c r="C25" s="249"/>
      <c r="D25" s="196">
        <f>+Pkge!G117</f>
        <v>0</v>
      </c>
      <c r="E25" s="197">
        <f>+Pkge!I117</f>
        <v>0</v>
      </c>
      <c r="F25" s="384" t="str">
        <f>Pkge!$B$127</f>
        <v>STRATEGO® PRO (7.1 L)</v>
      </c>
      <c r="G25" s="195"/>
      <c r="H25" s="196">
        <f>+Pkge!G127</f>
        <v>0</v>
      </c>
      <c r="I25" s="197">
        <f>+Pkge!I127</f>
        <v>0</v>
      </c>
      <c r="J25" s="435"/>
      <c r="K25" s="435"/>
      <c r="L25" s="435"/>
      <c r="M25" s="435"/>
      <c r="N25" s="435"/>
      <c r="O25" s="435"/>
      <c r="P25" s="435"/>
    </row>
    <row r="26" spans="1:21" ht="15.75" customHeight="1">
      <c r="A26" s="743"/>
      <c r="B26" s="384" t="str">
        <f>Pkge!$B$118</f>
        <v>PROLINE® (5.1 L)</v>
      </c>
      <c r="C26" s="249"/>
      <c r="D26" s="196">
        <f>+Pkge!G118</f>
        <v>0</v>
      </c>
      <c r="E26" s="197">
        <f>+Pkge!I118</f>
        <v>0</v>
      </c>
      <c r="F26" s="384" t="str">
        <f>+Pkge!B128</f>
        <v>STRATEGO® PRO (113.6 L)</v>
      </c>
      <c r="G26" s="195"/>
      <c r="H26" s="196">
        <f>+Pkge!G128</f>
        <v>0</v>
      </c>
      <c r="I26" s="197">
        <f>+Pkge!I128</f>
        <v>0</v>
      </c>
      <c r="J26" s="435"/>
      <c r="K26" s="435"/>
      <c r="L26" s="435"/>
      <c r="M26" s="435"/>
      <c r="N26" s="435"/>
      <c r="O26" s="435"/>
      <c r="P26" s="435"/>
    </row>
    <row r="27" spans="1:21" ht="15.75" customHeight="1">
      <c r="A27" s="743"/>
      <c r="B27" s="384" t="str">
        <f>Pkge!$B$119</f>
        <v>PROPULSE® (6.1 L)</v>
      </c>
      <c r="C27" s="249"/>
      <c r="D27" s="196">
        <f>+Pkge!G119</f>
        <v>0</v>
      </c>
      <c r="E27" s="197">
        <f>+Pkge!I119</f>
        <v>0</v>
      </c>
      <c r="F27" s="384" t="str">
        <f>Pkge!$B$129</f>
        <v>VARRO® (8 L)</v>
      </c>
      <c r="G27" s="195"/>
      <c r="H27" s="196">
        <f>+Pkge!G129</f>
        <v>0</v>
      </c>
      <c r="I27" s="197">
        <f>+Pkge!I129</f>
        <v>0</v>
      </c>
      <c r="J27" s="435"/>
      <c r="K27" s="435"/>
      <c r="L27" s="435"/>
      <c r="M27" s="435"/>
      <c r="N27" s="435"/>
      <c r="O27" s="435"/>
      <c r="P27" s="435"/>
    </row>
    <row r="28" spans="1:21" ht="15.75" customHeight="1" thickBot="1">
      <c r="A28" s="743"/>
      <c r="B28" s="384" t="str">
        <f>+Pkge!B138</f>
        <v>PROSARO® PRO (6.07 L)</v>
      </c>
      <c r="C28" s="249"/>
      <c r="D28" s="196">
        <f>+Pkge!G138</f>
        <v>0</v>
      </c>
      <c r="E28" s="197">
        <f>+Pkge!I138</f>
        <v>0</v>
      </c>
      <c r="F28" s="384" t="str">
        <f>Pkge!$B$130</f>
        <v>VIOS® G3 (1.78 L)</v>
      </c>
      <c r="G28" s="195"/>
      <c r="H28" s="196">
        <f>+Pkge!G130</f>
        <v>0</v>
      </c>
      <c r="I28" s="197">
        <f>+Pkge!I130</f>
        <v>0</v>
      </c>
      <c r="J28" s="435"/>
      <c r="K28" s="435"/>
      <c r="L28" s="435"/>
      <c r="M28" s="435"/>
      <c r="N28" s="435"/>
      <c r="O28" s="435"/>
      <c r="P28" s="435"/>
    </row>
    <row r="29" spans="1:21" ht="15.75" customHeight="1">
      <c r="A29" s="743"/>
      <c r="B29" s="384" t="str">
        <f>Pkge!$B$139</f>
        <v>PROSARO® PRO (97.17 L)</v>
      </c>
      <c r="C29" s="249"/>
      <c r="D29" s="196">
        <f>+Pkge!G139</f>
        <v>0</v>
      </c>
      <c r="E29" s="197">
        <f>+Pkge!I139</f>
        <v>0</v>
      </c>
      <c r="F29" s="384" t="str">
        <f>+Pkge!AB131</f>
        <v>XTENDIMAX® (10 L)</v>
      </c>
      <c r="G29" s="195"/>
      <c r="H29" s="196">
        <f>+Pkge!G131</f>
        <v>0</v>
      </c>
      <c r="I29" s="412">
        <f>+Pkge!I131</f>
        <v>0</v>
      </c>
      <c r="J29" s="620" t="str">
        <f>+G89</f>
        <v>Trait Matched Acres and Unmatched Acres Rebate</v>
      </c>
      <c r="K29" s="621"/>
      <c r="L29" s="621"/>
      <c r="M29" s="622"/>
      <c r="N29" s="668">
        <f>+M89</f>
        <v>0</v>
      </c>
      <c r="O29" s="435"/>
      <c r="P29" s="435"/>
    </row>
    <row r="30" spans="1:21" ht="15.75" customHeight="1" thickBot="1">
      <c r="A30" s="435"/>
      <c r="B30" s="384" t="str">
        <f>Pkge!$B$120</f>
        <v xml:space="preserve">PROSARO® XTR (6.5 L) </v>
      </c>
      <c r="C30" s="249"/>
      <c r="D30" s="196">
        <f>+Pkge!G120</f>
        <v>0</v>
      </c>
      <c r="E30" s="197">
        <f>+Pkge!I120</f>
        <v>0</v>
      </c>
      <c r="F30" s="384" t="str">
        <f>+Pkge!AB132</f>
        <v>XTENDIMAX® (450 L)</v>
      </c>
      <c r="G30" s="195"/>
      <c r="H30" s="196">
        <f>+Pkge!G132</f>
        <v>0</v>
      </c>
      <c r="I30" s="412">
        <f>+Pkge!I132</f>
        <v>0</v>
      </c>
      <c r="J30" s="623"/>
      <c r="K30" s="624"/>
      <c r="L30" s="624"/>
      <c r="M30" s="625"/>
      <c r="N30" s="669"/>
      <c r="O30" s="435"/>
      <c r="P30" s="435"/>
    </row>
    <row r="31" spans="1:21" ht="15.75" customHeight="1">
      <c r="A31" s="435"/>
      <c r="B31" s="384" t="str">
        <f>Pkge!$B$121</f>
        <v>PROSARO® XTR (104 L)</v>
      </c>
      <c r="C31" s="249"/>
      <c r="D31" s="196">
        <f>+Pkge!G121</f>
        <v>0</v>
      </c>
      <c r="E31" s="197">
        <f>+Pkge!I121</f>
        <v>0</v>
      </c>
      <c r="F31" s="384" t="str">
        <f>+Pkge!AB133</f>
        <v>XTENDIMAX® 2 (10 L)</v>
      </c>
      <c r="G31" s="195"/>
      <c r="H31" s="196">
        <f>+Pkge!G133</f>
        <v>0</v>
      </c>
      <c r="I31" s="412">
        <f>+Pkge!I133</f>
        <v>0</v>
      </c>
      <c r="J31" s="620" t="str">
        <f>+G90</f>
        <v>Roundup® Key Product Focus Rebate</v>
      </c>
      <c r="K31" s="621"/>
      <c r="L31" s="621"/>
      <c r="M31" s="622"/>
      <c r="N31" s="670">
        <f>+M90</f>
        <v>0</v>
      </c>
      <c r="O31" s="435"/>
      <c r="P31" s="435"/>
    </row>
    <row r="32" spans="1:21" ht="15" customHeight="1" thickBot="1">
      <c r="A32" s="435"/>
      <c r="B32" s="384" t="str">
        <f>Pkge!$B$122</f>
        <v>PUMA® ADVANCE (8.25 L)</v>
      </c>
      <c r="C32" s="249"/>
      <c r="D32" s="196">
        <f>+Pkge!G122</f>
        <v>0</v>
      </c>
      <c r="E32" s="197">
        <f>+Pkge!I122</f>
        <v>0</v>
      </c>
      <c r="F32" s="384" t="str">
        <f>+Pkge!AB145</f>
        <v>XTENDIMAX® 2 (122.38 L)</v>
      </c>
      <c r="G32" s="195"/>
      <c r="H32" s="196">
        <f>+Pkge!G145</f>
        <v>0</v>
      </c>
      <c r="I32" s="412">
        <f>+Pkge!I145</f>
        <v>0</v>
      </c>
      <c r="J32" s="623"/>
      <c r="K32" s="624"/>
      <c r="L32" s="624"/>
      <c r="M32" s="625"/>
      <c r="N32" s="669"/>
      <c r="O32" s="435"/>
      <c r="P32" s="435"/>
    </row>
    <row r="33" spans="1:16" ht="15.75" customHeight="1">
      <c r="A33" s="435"/>
      <c r="B33" s="384" t="str">
        <f>+Pkge!B146</f>
        <v>ROUNDUP TRANSORB® HC (10 L)</v>
      </c>
      <c r="C33" s="249"/>
      <c r="D33" s="196">
        <f>+Pkge!G146</f>
        <v>0</v>
      </c>
      <c r="E33" s="197">
        <f>+Pkge!I146</f>
        <v>0</v>
      </c>
      <c r="F33" s="384" t="str">
        <f>+Pkge!AB134</f>
        <v>XTENDIMAX® 2 (450 L)</v>
      </c>
      <c r="G33" s="195"/>
      <c r="H33" s="196">
        <f>+Pkge!G134</f>
        <v>0</v>
      </c>
      <c r="I33" s="412">
        <f>+Pkge!I134</f>
        <v>0</v>
      </c>
      <c r="J33" s="620" t="str">
        <f>+LEFT(G91,25)</f>
        <v>FieldView™ Rewards Rebate</v>
      </c>
      <c r="K33" s="621"/>
      <c r="L33" s="621"/>
      <c r="M33" s="622"/>
      <c r="N33" s="670">
        <f>M91</f>
        <v>0</v>
      </c>
      <c r="O33" s="435"/>
      <c r="P33" s="435"/>
    </row>
    <row r="34" spans="1:16" ht="15.75" customHeight="1" thickBot="1">
      <c r="A34" s="435"/>
      <c r="B34" s="384" t="str">
        <f>+Pkge!B147</f>
        <v>ROUNDUP TRANSORB® HC (115 L)</v>
      </c>
      <c r="C34" s="249"/>
      <c r="D34" s="196">
        <f>+Pkge!G147</f>
        <v>0</v>
      </c>
      <c r="E34" s="197">
        <f>+Pkge!I147</f>
        <v>0</v>
      </c>
      <c r="F34" s="256"/>
      <c r="G34" s="256"/>
      <c r="H34" s="256"/>
      <c r="I34" s="256"/>
      <c r="J34" s="623"/>
      <c r="K34" s="624"/>
      <c r="L34" s="624"/>
      <c r="M34" s="625"/>
      <c r="N34" s="669"/>
      <c r="O34" s="435"/>
      <c r="P34" s="435"/>
    </row>
    <row r="35" spans="1:16" ht="43.5" customHeight="1" thickBot="1">
      <c r="A35" s="435"/>
      <c r="B35" s="257"/>
      <c r="C35" s="257"/>
      <c r="D35" s="257"/>
      <c r="E35" s="256"/>
      <c r="F35" s="599" t="s">
        <v>22</v>
      </c>
      <c r="G35" s="600"/>
      <c r="H35" s="626">
        <f>+Pkge!I210</f>
        <v>0</v>
      </c>
      <c r="I35" s="627"/>
      <c r="J35" s="615" t="str">
        <f>+R14</f>
        <v>Total BayerValue™ Rebate</v>
      </c>
      <c r="K35" s="616"/>
      <c r="L35" s="616"/>
      <c r="M35" s="617"/>
      <c r="N35" s="451">
        <f>+M92</f>
        <v>0</v>
      </c>
      <c r="O35" s="435"/>
      <c r="P35" s="435"/>
    </row>
    <row r="36" spans="1:16" ht="35.25" customHeight="1">
      <c r="A36" s="435"/>
      <c r="B36" s="636" t="s">
        <v>23</v>
      </c>
      <c r="C36" s="637"/>
      <c r="D36" s="638"/>
      <c r="E36" s="435"/>
      <c r="F36" s="435"/>
      <c r="G36" s="435"/>
      <c r="H36" s="435"/>
      <c r="I36" s="435"/>
      <c r="J36" s="435"/>
      <c r="K36" s="435"/>
      <c r="L36" s="435"/>
      <c r="M36" s="435"/>
      <c r="N36" s="435"/>
      <c r="O36" s="435"/>
      <c r="P36" s="435"/>
    </row>
    <row r="37" spans="1:16" ht="15.75">
      <c r="A37" s="435"/>
      <c r="B37" s="481"/>
      <c r="C37" s="545" t="s">
        <v>12</v>
      </c>
      <c r="D37" s="545" t="s">
        <v>13</v>
      </c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</row>
    <row r="38" spans="1:16">
      <c r="A38" s="435"/>
      <c r="B38" s="480" t="str">
        <f>+Pkge!B135</f>
        <v>Corn Trait (80,000 kernels)</v>
      </c>
      <c r="C38" s="195">
        <v>0</v>
      </c>
      <c r="D38" s="445">
        <f>+Pkge!G135</f>
        <v>0</v>
      </c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5"/>
    </row>
    <row r="39" spans="1:16" ht="15.75" customHeight="1">
      <c r="A39" s="435"/>
      <c r="B39" s="480" t="str">
        <f>+Pkge!B136</f>
        <v>Soybean Trait (140,000 seeds)</v>
      </c>
      <c r="C39" s="195">
        <v>0</v>
      </c>
      <c r="D39" s="445">
        <f>+Pkge!G136</f>
        <v>0</v>
      </c>
      <c r="E39" s="435"/>
      <c r="F39" s="435"/>
      <c r="G39" s="435"/>
      <c r="H39" s="435"/>
      <c r="I39" s="435"/>
      <c r="J39" s="435"/>
      <c r="K39" s="435"/>
      <c r="L39" s="435"/>
      <c r="M39" s="435"/>
      <c r="N39" s="435"/>
      <c r="O39" s="435"/>
      <c r="P39" s="435"/>
    </row>
    <row r="40" spans="1:16" ht="21.75" customHeight="1">
      <c r="A40" s="435"/>
      <c r="B40" s="473"/>
      <c r="C40" s="435"/>
      <c r="D40" s="435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5"/>
    </row>
    <row r="41" spans="1:16" ht="27" customHeight="1">
      <c r="A41" s="435"/>
      <c r="B41" s="474" t="s">
        <v>24</v>
      </c>
      <c r="C41" s="435"/>
      <c r="D41" s="473"/>
      <c r="E41" s="435"/>
      <c r="F41" s="435"/>
      <c r="G41" s="435"/>
      <c r="H41" s="435"/>
      <c r="I41" s="435"/>
      <c r="J41" s="435"/>
      <c r="K41" s="435"/>
      <c r="L41" s="435"/>
      <c r="M41" s="435"/>
      <c r="N41" s="435"/>
      <c r="O41" s="435"/>
      <c r="P41" s="435"/>
    </row>
    <row r="42" spans="1:16" ht="32.25" hidden="1" customHeight="1">
      <c r="A42" s="435"/>
      <c r="B42" s="263"/>
      <c r="C42" s="263"/>
      <c r="D42" s="263"/>
      <c r="E42" s="607" t="str">
        <f>+AA6</f>
        <v>BayerValue™ East Rewards</v>
      </c>
      <c r="F42" s="608"/>
      <c r="G42" s="608"/>
      <c r="H42" s="608"/>
      <c r="I42" s="608"/>
      <c r="J42" s="608"/>
      <c r="K42" s="608"/>
      <c r="L42" s="263"/>
      <c r="M42" s="263"/>
      <c r="N42" s="263"/>
      <c r="O42" s="263"/>
      <c r="P42" s="435"/>
    </row>
    <row r="43" spans="1:16" ht="22.5" hidden="1" customHeight="1" thickBot="1">
      <c r="A43" s="435"/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435"/>
    </row>
    <row r="44" spans="1:16" ht="15.75" hidden="1" customHeight="1">
      <c r="A44" s="435"/>
      <c r="B44" s="601" t="s">
        <v>25</v>
      </c>
      <c r="C44" s="602"/>
      <c r="D44" s="602"/>
      <c r="E44" s="602"/>
      <c r="F44" s="586"/>
      <c r="G44" s="471"/>
      <c r="H44" s="471"/>
      <c r="I44" s="471"/>
      <c r="J44" s="585" t="s">
        <v>26</v>
      </c>
      <c r="K44" s="586"/>
      <c r="L44" s="586"/>
      <c r="M44" s="586"/>
      <c r="N44" s="586"/>
      <c r="O44" s="587"/>
      <c r="P44" s="435"/>
    </row>
    <row r="45" spans="1:16" ht="15.75" hidden="1" customHeight="1" thickBot="1">
      <c r="A45" s="435"/>
      <c r="B45" s="605"/>
      <c r="C45" s="606"/>
      <c r="D45" s="606"/>
      <c r="E45" s="606"/>
      <c r="F45" s="588"/>
      <c r="G45" s="472"/>
      <c r="H45" s="472"/>
      <c r="I45" s="472"/>
      <c r="J45" s="588"/>
      <c r="K45" s="588"/>
      <c r="L45" s="588"/>
      <c r="M45" s="588"/>
      <c r="N45" s="588"/>
      <c r="O45" s="589"/>
      <c r="P45" s="435"/>
    </row>
    <row r="46" spans="1:16" ht="73.5" hidden="1" customHeight="1" thickBot="1">
      <c r="A46" s="435"/>
      <c r="B46" s="446" t="s">
        <v>27</v>
      </c>
      <c r="C46" s="603" t="s">
        <v>10</v>
      </c>
      <c r="D46" s="604"/>
      <c r="E46" s="447" t="s">
        <v>28</v>
      </c>
      <c r="F46" s="446" t="s">
        <v>29</v>
      </c>
      <c r="G46" s="603" t="s">
        <v>30</v>
      </c>
      <c r="H46" s="604"/>
      <c r="I46" s="448" t="s">
        <v>31</v>
      </c>
      <c r="J46" s="590" t="s">
        <v>32</v>
      </c>
      <c r="K46" s="744"/>
      <c r="L46" s="590" t="s">
        <v>33</v>
      </c>
      <c r="M46" s="744"/>
      <c r="N46" s="292" t="s">
        <v>34</v>
      </c>
      <c r="O46" s="449" t="s">
        <v>35</v>
      </c>
      <c r="P46" s="435"/>
    </row>
    <row r="47" spans="1:16" ht="6" hidden="1" customHeight="1" thickBot="1">
      <c r="A47" s="435"/>
      <c r="B47" s="265"/>
      <c r="C47" s="265"/>
      <c r="D47" s="265"/>
      <c r="E47" s="265"/>
      <c r="F47" s="265"/>
      <c r="G47" s="265"/>
      <c r="H47" s="265"/>
      <c r="I47" s="264"/>
      <c r="J47" s="264"/>
      <c r="K47" s="264"/>
      <c r="L47" s="264"/>
      <c r="M47" s="264"/>
      <c r="N47" s="264"/>
      <c r="O47" s="264"/>
      <c r="P47" s="435"/>
    </row>
    <row r="48" spans="1:16" ht="15.75" hidden="1" customHeight="1" thickBot="1">
      <c r="A48" s="552" t="s">
        <v>16</v>
      </c>
      <c r="B48" s="278" t="s">
        <v>36</v>
      </c>
      <c r="C48" s="279" t="str">
        <f>+Pkge!A109</f>
        <v xml:space="preserve">BUCTRIL M </v>
      </c>
      <c r="D48" s="280"/>
      <c r="E48" s="281">
        <f>+Pkge!L109</f>
        <v>0</v>
      </c>
      <c r="F48" s="281">
        <f>IF(D$74 &gt;=100, IF( +Pkge!M109&gt;=1000,  IF(E48 &gt;=D$74, D$74, E48),0),0)</f>
        <v>0</v>
      </c>
      <c r="G48" s="593">
        <v>1</v>
      </c>
      <c r="H48" s="594"/>
      <c r="I48" s="475">
        <f>+F48*G48</f>
        <v>0</v>
      </c>
      <c r="J48" s="655">
        <f>IF(+Pkge!I$210&gt;=5000,IF(Pkge!$M109&gt;=1000,IF(+Pkge!AC$144&gt;=2,IF(E48&gt;F48,E48-F48,F48-E48),0),0),0)</f>
        <v>0</v>
      </c>
      <c r="K48" s="656"/>
      <c r="L48" s="651">
        <v>0.5</v>
      </c>
      <c r="M48" s="633"/>
      <c r="N48" s="283">
        <f>+J48*L48</f>
        <v>0</v>
      </c>
      <c r="O48" s="303">
        <f>+I48+N48</f>
        <v>0</v>
      </c>
      <c r="P48" s="435"/>
    </row>
    <row r="49" spans="1:17" ht="15.75" hidden="1" customHeight="1" thickBot="1">
      <c r="A49" s="743"/>
      <c r="B49" s="284"/>
      <c r="C49" s="266" t="str">
        <f>+Pkge!A113</f>
        <v>INFINITY FX</v>
      </c>
      <c r="D49" s="267"/>
      <c r="E49" s="268">
        <f>+Pkge!L114</f>
        <v>0</v>
      </c>
      <c r="F49" s="268">
        <f>IF(D$74 &gt;=100, IF( +Pkge!M114 &gt;=1000,  IF(E49 &gt;=D$74, D$74, E49),0),0)</f>
        <v>0</v>
      </c>
      <c r="G49" s="595">
        <v>2</v>
      </c>
      <c r="H49" s="596"/>
      <c r="I49" s="476">
        <f t="shared" ref="I49:I52" si="0">+F49*G49</f>
        <v>0</v>
      </c>
      <c r="J49" s="562">
        <f>IF(+Pkge!I$210&gt;=5000,IF(Pkge!$M114&gt;=1000,IF(+Pkge!AC$144&gt;=2,IF(E49&gt;F49,E49-F49,F49-E49),0),0),0)</f>
        <v>0</v>
      </c>
      <c r="K49" s="563"/>
      <c r="L49" s="652">
        <v>1.25</v>
      </c>
      <c r="M49" s="576"/>
      <c r="N49" s="191">
        <f t="shared" ref="N49:N52" si="1">+J49*L49</f>
        <v>0</v>
      </c>
      <c r="O49" s="303">
        <f t="shared" ref="O49:O52" si="2">+I49+N49</f>
        <v>0</v>
      </c>
      <c r="P49" s="435"/>
    </row>
    <row r="50" spans="1:17" ht="15.75" hidden="1" customHeight="1" thickBot="1">
      <c r="A50" s="743"/>
      <c r="B50" s="291"/>
      <c r="C50" s="266" t="str">
        <f>+Pkge!A115</f>
        <v>INFINITY</v>
      </c>
      <c r="D50" s="267"/>
      <c r="E50" s="269">
        <f>+Pkge!L116</f>
        <v>0</v>
      </c>
      <c r="F50" s="268">
        <f>IF(D$74 &gt;=100, IF( +Pkge!M116 &gt;=1000,  IF(E50 &gt;=D$74, D$74, E50),0),0)</f>
        <v>0</v>
      </c>
      <c r="G50" s="595">
        <v>1.5</v>
      </c>
      <c r="H50" s="596"/>
      <c r="I50" s="476">
        <f t="shared" si="0"/>
        <v>0</v>
      </c>
      <c r="J50" s="562">
        <f>IF(+Pkge!I$210&gt;=5000,IF(Pkge!$M116&gt;=1000,IF(+Pkge!AC$144&gt;=2,IF(E50&gt;F50,E50-F50,F50-E50),0),0),0)</f>
        <v>0</v>
      </c>
      <c r="K50" s="563"/>
      <c r="L50" s="652">
        <v>1</v>
      </c>
      <c r="M50" s="576"/>
      <c r="N50" s="191">
        <f t="shared" si="1"/>
        <v>0</v>
      </c>
      <c r="O50" s="303">
        <f t="shared" si="2"/>
        <v>0</v>
      </c>
      <c r="P50" s="435"/>
    </row>
    <row r="51" spans="1:17" ht="15.75" hidden="1" customHeight="1" thickBot="1">
      <c r="A51" s="743"/>
      <c r="B51" s="284"/>
      <c r="C51" s="266" t="str">
        <f>+Pkge!A122</f>
        <v>PUMA ADVANCE</v>
      </c>
      <c r="D51" s="267"/>
      <c r="E51" s="268">
        <f>+Pkge!L122</f>
        <v>0</v>
      </c>
      <c r="F51" s="268">
        <f>IF(D$74 &gt;=100, IF( +Pkge!M122 &gt;=1000,  IF(E51 &gt;=D$74, D$74, E51),0),0)</f>
        <v>0</v>
      </c>
      <c r="G51" s="595">
        <v>1</v>
      </c>
      <c r="H51" s="596"/>
      <c r="I51" s="476">
        <f t="shared" si="0"/>
        <v>0</v>
      </c>
      <c r="J51" s="562">
        <f>IF(+Pkge!I$210&gt;=5000,IF(Pkge!$M122&gt;=1000,IF(+Pkge!AC$144&gt;=2,IF(E51&gt;F51,E51-F51,F51-E51),0),0),0)</f>
        <v>0</v>
      </c>
      <c r="K51" s="563"/>
      <c r="L51" s="652">
        <v>0.5</v>
      </c>
      <c r="M51" s="576"/>
      <c r="N51" s="191">
        <f t="shared" si="1"/>
        <v>0</v>
      </c>
      <c r="O51" s="303">
        <f t="shared" si="2"/>
        <v>0</v>
      </c>
      <c r="P51" s="435"/>
    </row>
    <row r="52" spans="1:17" ht="15.75" hidden="1" customHeight="1" thickBot="1">
      <c r="A52" s="743"/>
      <c r="B52" s="285"/>
      <c r="C52" s="286" t="str">
        <f>+Pkge!A129</f>
        <v>VARRO</v>
      </c>
      <c r="D52" s="287"/>
      <c r="E52" s="288">
        <f>+Pkge!L129</f>
        <v>0</v>
      </c>
      <c r="F52" s="288">
        <f>IF(D$74 &gt;=100, IF( +Pkge!M129 &gt;=1000,  IF(E52 &gt;=D$74, D$74, E52),0),0)</f>
        <v>0</v>
      </c>
      <c r="G52" s="583">
        <v>2</v>
      </c>
      <c r="H52" s="584"/>
      <c r="I52" s="289">
        <f t="shared" si="0"/>
        <v>0</v>
      </c>
      <c r="J52" s="653">
        <f>IF(+Pkge!I$210&gt;=5000,IF(Pkge!$M129&gt;=1000,IF(+Pkge!AC$144&gt;=2,IF(E52&gt;F52,E52-F52,F52-E52),0),0),0)</f>
        <v>0</v>
      </c>
      <c r="K52" s="654"/>
      <c r="L52" s="579">
        <v>1.25</v>
      </c>
      <c r="M52" s="580"/>
      <c r="N52" s="290">
        <f t="shared" si="1"/>
        <v>0</v>
      </c>
      <c r="O52" s="453">
        <f t="shared" si="2"/>
        <v>0</v>
      </c>
      <c r="P52" s="435"/>
    </row>
    <row r="53" spans="1:17" ht="15.75" hidden="1" customHeight="1" thickBot="1">
      <c r="A53" s="743"/>
      <c r="B53" s="265"/>
      <c r="C53" s="270"/>
      <c r="D53" s="270"/>
      <c r="E53" s="271"/>
      <c r="F53" s="271"/>
      <c r="G53" s="265"/>
      <c r="H53" s="265"/>
      <c r="I53" s="264"/>
      <c r="J53" s="276"/>
      <c r="K53" s="276"/>
      <c r="L53" s="265"/>
      <c r="M53" s="265"/>
      <c r="N53" s="264"/>
      <c r="O53" s="264"/>
      <c r="P53" s="435"/>
    </row>
    <row r="54" spans="1:17" ht="15.75" hidden="1" customHeight="1" thickBot="1">
      <c r="A54" s="743"/>
      <c r="B54" s="278" t="s">
        <v>37</v>
      </c>
      <c r="C54" s="279" t="str">
        <f>+Pkge!A110</f>
        <v>CONVERGE FLEXX</v>
      </c>
      <c r="D54" s="280"/>
      <c r="E54" s="281">
        <f>+Pkge!L110</f>
        <v>0</v>
      </c>
      <c r="F54" s="281">
        <f>IF(D$74 &gt;=100, IF( +Pkge!M110 &gt;=1000,  IF(E54 &gt;=D$74, D$74, E54),0),0)</f>
        <v>0</v>
      </c>
      <c r="G54" s="593">
        <v>3</v>
      </c>
      <c r="H54" s="594"/>
      <c r="I54" s="282">
        <f t="shared" ref="I54:I60" si="3">+F54*G54</f>
        <v>0</v>
      </c>
      <c r="J54" s="597">
        <f>IF(+Pkge!I$210&gt;=5000,IF(Pkge!$M110&gt;=1000,IF(+Pkge!AC$144&gt;=2,IF(E54&gt;F54,E54-F54,F54-E54),0),0),0)</f>
        <v>0</v>
      </c>
      <c r="K54" s="598"/>
      <c r="L54" s="632">
        <v>1.5</v>
      </c>
      <c r="M54" s="633"/>
      <c r="N54" s="283">
        <f t="shared" ref="N54:N60" si="4">+J54*L54</f>
        <v>0</v>
      </c>
      <c r="O54" s="303">
        <f t="shared" ref="O54:O60" si="5">+I54+N54</f>
        <v>0</v>
      </c>
      <c r="P54" s="435"/>
    </row>
    <row r="55" spans="1:17" ht="15.75" hidden="1" customHeight="1" thickBot="1">
      <c r="A55" s="743"/>
      <c r="B55" s="284"/>
      <c r="C55" s="272" t="str">
        <f>+Pkge!A111</f>
        <v>CONVERGE XT</v>
      </c>
      <c r="D55" s="273"/>
      <c r="E55" s="268">
        <f>+Pkge!L111</f>
        <v>0</v>
      </c>
      <c r="F55" s="268">
        <f>IF(D$74 &gt;=100, IF( +Pkge!M111 &gt;=1000,  IF(E55 &gt;=D$74, D$74, E55),0),0)</f>
        <v>0</v>
      </c>
      <c r="G55" s="595">
        <v>4</v>
      </c>
      <c r="H55" s="596"/>
      <c r="I55" s="190">
        <f t="shared" si="3"/>
        <v>0</v>
      </c>
      <c r="J55" s="560">
        <f>IF(+Pkge!I$210&gt;=5000,IF(Pkge!$M111&gt;=1000,IF(+Pkge!AC$144&gt;=2,IF(E55&gt;F55,E55-F55,F55-E55),0),0),0)</f>
        <v>0</v>
      </c>
      <c r="K55" s="561"/>
      <c r="L55" s="575">
        <v>2</v>
      </c>
      <c r="M55" s="576"/>
      <c r="N55" s="191">
        <f t="shared" si="4"/>
        <v>0</v>
      </c>
      <c r="O55" s="303">
        <f t="shared" si="5"/>
        <v>0</v>
      </c>
      <c r="P55" s="435"/>
    </row>
    <row r="56" spans="1:17" ht="15.75" hidden="1" customHeight="1" thickBot="1">
      <c r="A56" s="743"/>
      <c r="B56" s="284"/>
      <c r="C56" s="272" t="str">
        <f>+Pkge!A143</f>
        <v>CORVUS</v>
      </c>
      <c r="D56" s="273"/>
      <c r="E56" s="268">
        <f>+Pkge!L143</f>
        <v>0</v>
      </c>
      <c r="F56" s="268">
        <f>IF(D$74 &gt;=100, IF( +Pkge!M143 &gt;=1000,  IF(E56 &gt;=D$74, D$74, E56),0),0)</f>
        <v>0</v>
      </c>
      <c r="G56" s="595">
        <v>3.5</v>
      </c>
      <c r="H56" s="596"/>
      <c r="I56" s="190">
        <f t="shared" ref="I56" si="6">+F56*G56</f>
        <v>0</v>
      </c>
      <c r="J56" s="560">
        <f>IF(+Pkge!I$210&gt;=5000,IF(Pkge!$M143&gt;=1000,IF(+Pkge!AC$144&gt;=2,IF(E56&gt;F56,E56-F56,F56-E56),0),0),0)</f>
        <v>0</v>
      </c>
      <c r="K56" s="561"/>
      <c r="L56" s="575">
        <v>1.75</v>
      </c>
      <c r="M56" s="576"/>
      <c r="N56" s="191">
        <f t="shared" ref="N56" si="7">+J56*L56</f>
        <v>0</v>
      </c>
      <c r="O56" s="303">
        <f t="shared" ref="O56" si="8">+I56+N56</f>
        <v>0</v>
      </c>
      <c r="P56" s="435"/>
    </row>
    <row r="57" spans="1:17" ht="15.75" hidden="1" customHeight="1" thickBot="1">
      <c r="A57" s="743"/>
      <c r="B57" s="284"/>
      <c r="C57" s="272" t="str">
        <f>+Pkge!A137</f>
        <v>LAUDIS</v>
      </c>
      <c r="D57" s="273"/>
      <c r="E57" s="268">
        <f>+Pkge!L137</f>
        <v>0</v>
      </c>
      <c r="F57" s="268">
        <f>IF(D$74 &gt;=100, IF( +Pkge!M137 &gt;=1000,  IF(E57 &gt;=D$74, D$74, E57),0),0)</f>
        <v>0</v>
      </c>
      <c r="G57" s="595">
        <v>2.5</v>
      </c>
      <c r="H57" s="596"/>
      <c r="I57" s="190">
        <f t="shared" si="3"/>
        <v>0</v>
      </c>
      <c r="J57" s="560">
        <f>IF(+Pkge!I$210&gt;=5000,IF(Pkge!$M137&gt;=1000,IF(+Pkge!AC$144&gt;=2,IF(E57&gt;F57,E57-F57,F57-E57),0),0),0)</f>
        <v>0</v>
      </c>
      <c r="K57" s="561"/>
      <c r="L57" s="575">
        <v>1.25</v>
      </c>
      <c r="M57" s="576"/>
      <c r="N57" s="191">
        <f t="shared" si="4"/>
        <v>0</v>
      </c>
      <c r="O57" s="303">
        <f t="shared" si="5"/>
        <v>0</v>
      </c>
      <c r="P57" s="435"/>
    </row>
    <row r="58" spans="1:17" ht="15.75" hidden="1" customHeight="1" thickBot="1">
      <c r="A58" s="743"/>
      <c r="B58" s="284"/>
      <c r="C58" s="272" t="str">
        <f>+Pkge!A117</f>
        <v>OPTION LIQUID</v>
      </c>
      <c r="D58" s="273"/>
      <c r="E58" s="268">
        <f>+Pkge!L117</f>
        <v>0</v>
      </c>
      <c r="F58" s="268">
        <f>IF(D$74 &gt;=100, IF( +Pkge!M117 &gt;=1000,  IF(E58 &gt;=D$74, D$74, E58),0),0)</f>
        <v>0</v>
      </c>
      <c r="G58" s="595">
        <v>2.5</v>
      </c>
      <c r="H58" s="596"/>
      <c r="I58" s="190">
        <f t="shared" si="3"/>
        <v>0</v>
      </c>
      <c r="J58" s="560">
        <f>IF(+Pkge!I$210&gt;=5000,IF(Pkge!$M117&gt;=1000,IF(+Pkge!AC$144&gt;=2,IF(E58&gt;F58,E58-F58,F58-E58),0),0),0)</f>
        <v>0</v>
      </c>
      <c r="K58" s="561"/>
      <c r="L58" s="575">
        <v>1.25</v>
      </c>
      <c r="M58" s="576"/>
      <c r="N58" s="191">
        <f t="shared" si="4"/>
        <v>0</v>
      </c>
      <c r="O58" s="303">
        <f t="shared" si="5"/>
        <v>0</v>
      </c>
      <c r="P58" s="435"/>
    </row>
    <row r="59" spans="1:17" ht="15.75" hidden="1" customHeight="1" thickBot="1">
      <c r="A59" s="743"/>
      <c r="B59" s="284"/>
      <c r="C59" s="272" t="str">
        <f>+Pkge!A123 &amp; "/XTEND 2"</f>
        <v>ROUNDUP XTEND/XTEND 2</v>
      </c>
      <c r="D59" s="273"/>
      <c r="E59" s="268">
        <f>+Pkge!L126</f>
        <v>0</v>
      </c>
      <c r="F59" s="268">
        <f>IF(D$74 &gt;=100, IF( +Pkge!M126 &gt;=1000,  IF(E59 &gt;=D$74, D$74, E59),0),0)</f>
        <v>0</v>
      </c>
      <c r="G59" s="595">
        <v>2.5</v>
      </c>
      <c r="H59" s="596"/>
      <c r="I59" s="190">
        <f t="shared" si="3"/>
        <v>0</v>
      </c>
      <c r="J59" s="560">
        <f>IF(+Pkge!I$210&gt;=5000,IF(Pkge!$M126&gt;=1000,IF(+Pkge!AC$144&gt;=2,IF(E59&gt;F59,E59-F59,F59-E59),0),0),0)</f>
        <v>0</v>
      </c>
      <c r="K59" s="561"/>
      <c r="L59" s="575">
        <v>1.25</v>
      </c>
      <c r="M59" s="576"/>
      <c r="N59" s="191">
        <f t="shared" si="4"/>
        <v>0</v>
      </c>
      <c r="O59" s="303">
        <f t="shared" si="5"/>
        <v>0</v>
      </c>
      <c r="P59" s="435"/>
    </row>
    <row r="60" spans="1:17" ht="15.75" hidden="1" customHeight="1" thickBot="1">
      <c r="A60" s="743"/>
      <c r="B60" s="284"/>
      <c r="C60" s="272" t="str">
        <f>+Pkge!A140 &amp; "/" &amp; Pkge!A142</f>
        <v>SENCOR 480 /SENCOR 75 DF</v>
      </c>
      <c r="D60" s="273"/>
      <c r="E60" s="268">
        <f>+Pkge!L142</f>
        <v>0</v>
      </c>
      <c r="F60" s="268">
        <f>IF(D$74 &gt;=100, IF( +Pkge!M142 &gt;=1000,  IF(E60 &gt;=D$74, D$74, E60),0),0)</f>
        <v>0</v>
      </c>
      <c r="G60" s="595">
        <v>0.5</v>
      </c>
      <c r="H60" s="596"/>
      <c r="I60" s="190">
        <f t="shared" si="3"/>
        <v>0</v>
      </c>
      <c r="J60" s="560">
        <f>IF(+Pkge!I$210&gt;=5000,IF(Pkge!$M142&gt;=1000,IF(+Pkge!AC$144&gt;=2,IF(E60&gt;F60,E60-F60,F60-E60),0),0),0)</f>
        <v>0</v>
      </c>
      <c r="K60" s="561"/>
      <c r="L60" s="575">
        <v>0.25</v>
      </c>
      <c r="M60" s="576"/>
      <c r="N60" s="191">
        <f t="shared" si="4"/>
        <v>0</v>
      </c>
      <c r="O60" s="303">
        <f t="shared" si="5"/>
        <v>0</v>
      </c>
      <c r="P60" s="435"/>
    </row>
    <row r="61" spans="1:17" ht="15.75" hidden="1" customHeight="1" thickBot="1">
      <c r="A61" s="743"/>
      <c r="B61" s="284"/>
      <c r="C61" s="272" t="str">
        <f>+Pkge!A$130</f>
        <v>VIOS G3</v>
      </c>
      <c r="D61" s="273"/>
      <c r="E61" s="268">
        <f>+Pkge!L$130</f>
        <v>0</v>
      </c>
      <c r="F61" s="268">
        <f>IF(D$74 &gt;=100, IF( +Pkge!M$130 &gt;=1000,  IF(E61 &gt;=D$74, D$74, E61),0),0)</f>
        <v>0</v>
      </c>
      <c r="G61" s="595">
        <v>2.5</v>
      </c>
      <c r="H61" s="596"/>
      <c r="I61" s="190">
        <f>+F61*G61</f>
        <v>0</v>
      </c>
      <c r="J61" s="560">
        <f>IF(+Pkge!I$210&gt;=5000,IF(Pkge!$M130&gt;=1000,IF(+Pkge!AC$144&gt;=2,IF(E61&gt;F61,E61-F61,F61-E61),0),0),0)</f>
        <v>0</v>
      </c>
      <c r="K61" s="561"/>
      <c r="L61" s="575">
        <v>1.25</v>
      </c>
      <c r="M61" s="576"/>
      <c r="N61" s="191">
        <f>+J61*L61</f>
        <v>0</v>
      </c>
      <c r="O61" s="303">
        <f>+I61+N61</f>
        <v>0</v>
      </c>
      <c r="P61" s="435"/>
      <c r="Q61" s="452"/>
    </row>
    <row r="62" spans="1:17" ht="15.75" hidden="1" customHeight="1" thickBot="1">
      <c r="A62" s="743"/>
      <c r="B62" s="285"/>
      <c r="C62" s="286" t="str">
        <f>+Pkge!A131 &amp; "/" &amp; "XTENDIMAX 2"</f>
        <v>XTENDIMAX/XTENDIMAX 2</v>
      </c>
      <c r="D62" s="287"/>
      <c r="E62" s="288">
        <f>+Pkge!L$134</f>
        <v>0</v>
      </c>
      <c r="F62" s="288">
        <f>IF(D$74 &gt;=100, IF( +Pkge!M$134 &gt;=1000,  IF(E62 &gt;=D$74, D$74, E62),0),0)</f>
        <v>0</v>
      </c>
      <c r="G62" s="583">
        <v>2</v>
      </c>
      <c r="H62" s="584"/>
      <c r="I62" s="289">
        <f>+F62*G62</f>
        <v>0</v>
      </c>
      <c r="J62" s="591">
        <f>IF(+Pkge!I$210&gt;=5000,IF(Pkge!$M134&gt;=1000,IF(+Pkge!AC$144&gt;=2,IF(E62&gt;F62,E62-F62,F62-E62),0),0),0)</f>
        <v>0</v>
      </c>
      <c r="K62" s="592"/>
      <c r="L62" s="579">
        <v>1</v>
      </c>
      <c r="M62" s="580"/>
      <c r="N62" s="290">
        <f>+J62*L62</f>
        <v>0</v>
      </c>
      <c r="O62" s="453">
        <f>+I62+N62</f>
        <v>0</v>
      </c>
      <c r="P62" s="435"/>
    </row>
    <row r="63" spans="1:17" ht="15.75" hidden="1" customHeight="1" thickBot="1">
      <c r="A63" s="743"/>
      <c r="B63" s="285"/>
      <c r="P63" s="435"/>
    </row>
    <row r="64" spans="1:17" ht="15.75" hidden="1" customHeight="1" thickBot="1">
      <c r="A64" s="743"/>
      <c r="B64" s="270"/>
      <c r="C64" s="270"/>
      <c r="D64" s="270"/>
      <c r="E64" s="274"/>
      <c r="F64" s="274"/>
      <c r="G64" s="270"/>
      <c r="H64" s="270"/>
      <c r="I64" s="275"/>
      <c r="J64" s="277"/>
      <c r="K64" s="277"/>
      <c r="L64" s="270"/>
      <c r="M64" s="270"/>
      <c r="N64" s="275"/>
      <c r="O64" s="275"/>
      <c r="P64" s="435"/>
    </row>
    <row r="65" spans="1:17" ht="15.75" hidden="1" customHeight="1" thickBot="1">
      <c r="A65" s="435"/>
      <c r="B65" s="454" t="s">
        <v>38</v>
      </c>
      <c r="C65" s="279" t="str">
        <f>+Pkge!A112</f>
        <v>DELARO COMPLETE</v>
      </c>
      <c r="D65" s="280"/>
      <c r="E65" s="281">
        <f>+Pkge!L144</f>
        <v>0</v>
      </c>
      <c r="F65" s="281">
        <f>IF(D$74 &gt;=100, IF( +Pkge!M144 &gt;=1000,  IF(E65 &gt;=D$74, D$74, E65),0),0)</f>
        <v>0</v>
      </c>
      <c r="G65" s="593">
        <v>2.25</v>
      </c>
      <c r="H65" s="594"/>
      <c r="I65" s="282">
        <f t="shared" ref="I65:I70" si="9">+F65*G65</f>
        <v>0</v>
      </c>
      <c r="J65" s="597">
        <f>IF(+Pkge!I$210&gt;=5000,IF(Pkge!$M144&gt;=1000,IF(+Pkge!AC$144&gt;=2,IF(E65&gt;F65,E65-F65,F65-E65),0),0),0)</f>
        <v>0</v>
      </c>
      <c r="K65" s="598"/>
      <c r="L65" s="632">
        <v>1.5</v>
      </c>
      <c r="M65" s="633"/>
      <c r="N65" s="283">
        <f t="shared" ref="N65:N70" si="10">+J65*L65</f>
        <v>0</v>
      </c>
      <c r="O65" s="303">
        <f t="shared" ref="O65:O70" si="11">+I65+N65</f>
        <v>0</v>
      </c>
      <c r="P65" s="435"/>
    </row>
    <row r="66" spans="1:17" ht="15.75" hidden="1" customHeight="1" thickBot="1">
      <c r="A66" s="435"/>
      <c r="B66" s="455"/>
      <c r="C66" s="272" t="str">
        <f>+Pkge!A118</f>
        <v>PROLINE</v>
      </c>
      <c r="D66" s="273"/>
      <c r="E66" s="268">
        <f>+Pkge!L118</f>
        <v>0</v>
      </c>
      <c r="F66" s="268">
        <f>IF(D$74 &gt;=100, IF( +Pkge!M118 &gt;=1000,  IF(E66 &gt;=D$74, D$74, E66),0),0)</f>
        <v>0</v>
      </c>
      <c r="G66" s="595">
        <v>4</v>
      </c>
      <c r="H66" s="596"/>
      <c r="I66" s="190">
        <f t="shared" si="9"/>
        <v>0</v>
      </c>
      <c r="J66" s="560">
        <f>IF(+Pkge!I$210&gt;=5000,IF(Pkge!$M118&gt;=1000,IF(+Pkge!AC$144&gt;=2,IF(E66&gt;F66,E66-F66,F66-E66),0),0),0)</f>
        <v>0</v>
      </c>
      <c r="K66" s="561"/>
      <c r="L66" s="575">
        <v>2</v>
      </c>
      <c r="M66" s="576"/>
      <c r="N66" s="191">
        <f t="shared" si="10"/>
        <v>0</v>
      </c>
      <c r="O66" s="303">
        <f t="shared" si="11"/>
        <v>0</v>
      </c>
      <c r="P66" s="435"/>
    </row>
    <row r="67" spans="1:17" ht="15.75" hidden="1" customHeight="1" thickBot="1">
      <c r="A67" s="435"/>
      <c r="B67" s="455"/>
      <c r="C67" s="272" t="str">
        <f>+Pkge!A119</f>
        <v>PROPULSE</v>
      </c>
      <c r="D67" s="273"/>
      <c r="E67" s="268">
        <f>+Pkge!L119</f>
        <v>0</v>
      </c>
      <c r="F67" s="268">
        <f>IF(D$74 &gt;=100, IF( +Pkge!M119 &gt;=1000,  IF(E67 &gt;=D$74, D$74, E67),0),0)</f>
        <v>0</v>
      </c>
      <c r="G67" s="595">
        <v>3</v>
      </c>
      <c r="H67" s="596"/>
      <c r="I67" s="190">
        <f t="shared" si="9"/>
        <v>0</v>
      </c>
      <c r="J67" s="560">
        <f>IF(+Pkge!I$210&gt;=5000,IF(Pkge!$M119&gt;=1000,IF(+Pkge!AC$144&gt;=2,IF(E67&gt;F67,E67-F67,F67-E67),0),0),0)</f>
        <v>0</v>
      </c>
      <c r="K67" s="561"/>
      <c r="L67" s="575">
        <v>1.5</v>
      </c>
      <c r="M67" s="576"/>
      <c r="N67" s="191">
        <f t="shared" si="10"/>
        <v>0</v>
      </c>
      <c r="O67" s="303">
        <f t="shared" si="11"/>
        <v>0</v>
      </c>
      <c r="P67" s="435"/>
    </row>
    <row r="68" spans="1:17" ht="15.75" hidden="1" customHeight="1" thickBot="1">
      <c r="A68" s="435"/>
      <c r="B68" s="455"/>
      <c r="C68" s="272" t="str">
        <f>+Pkge!A139</f>
        <v>PROSARO PRO</v>
      </c>
      <c r="D68" s="273"/>
      <c r="E68" s="268">
        <f>+Pkge!L139</f>
        <v>0</v>
      </c>
      <c r="F68" s="268">
        <f>IF(D$74 &gt;=100, IF( +Pkge!M139 &gt;=1000,  IF(E68 &gt;=D$74, D$74, E68),0),0)</f>
        <v>0</v>
      </c>
      <c r="G68" s="595">
        <v>3.5</v>
      </c>
      <c r="H68" s="596"/>
      <c r="I68" s="190">
        <f t="shared" si="9"/>
        <v>0</v>
      </c>
      <c r="J68" s="560">
        <f>IF(+Pkge!I$210&gt;=5000,IF(Pkge!$M139&gt;=1000,IF(+Pkge!AC$144&gt;=2,IF(E68&gt;F68,E68-F68,F68-E68),0),0),0)</f>
        <v>0</v>
      </c>
      <c r="K68" s="561"/>
      <c r="L68" s="575">
        <v>2</v>
      </c>
      <c r="M68" s="576"/>
      <c r="N68" s="191">
        <f t="shared" si="10"/>
        <v>0</v>
      </c>
      <c r="O68" s="303">
        <f t="shared" si="11"/>
        <v>0</v>
      </c>
      <c r="P68" s="435"/>
    </row>
    <row r="69" spans="1:17" ht="15.75" hidden="1" customHeight="1" thickBot="1">
      <c r="A69" s="435"/>
      <c r="B69" s="455"/>
      <c r="C69" s="272" t="str">
        <f>+Pkge!A120</f>
        <v>PROSARO XTR</v>
      </c>
      <c r="D69" s="273"/>
      <c r="E69" s="268">
        <f>+Pkge!L121</f>
        <v>0</v>
      </c>
      <c r="F69" s="268">
        <f>IF(D$74 &gt;=100, IF( +Pkge!M121 &gt;=1000,  IF(E69 &gt;=D$74, D$74, E69),0),0)</f>
        <v>0</v>
      </c>
      <c r="G69" s="595">
        <v>3</v>
      </c>
      <c r="H69" s="596"/>
      <c r="I69" s="190">
        <f t="shared" si="9"/>
        <v>0</v>
      </c>
      <c r="J69" s="560">
        <f>IF(+Pkge!I$210&gt;=5000,IF(Pkge!$M121&gt;=1000,IF(+Pkge!AC$144&gt;=2,IF(E69&gt;F69,E69-F69,F69-E69),0),0),0)</f>
        <v>0</v>
      </c>
      <c r="K69" s="561"/>
      <c r="L69" s="575">
        <v>1.75</v>
      </c>
      <c r="M69" s="576"/>
      <c r="N69" s="191">
        <f t="shared" si="10"/>
        <v>0</v>
      </c>
      <c r="O69" s="303">
        <f t="shared" si="11"/>
        <v>0</v>
      </c>
      <c r="P69" s="435"/>
    </row>
    <row r="70" spans="1:17" ht="15.75" hidden="1" customHeight="1" thickBot="1">
      <c r="A70" s="435"/>
      <c r="B70" s="456"/>
      <c r="C70" s="286" t="str">
        <f>+Pkge!A127</f>
        <v>STRATEGO PRO</v>
      </c>
      <c r="D70" s="287"/>
      <c r="E70" s="288">
        <f>+Pkge!L128</f>
        <v>0</v>
      </c>
      <c r="F70" s="288">
        <f>IF(D$74 &gt;=100, IF( +Pkge!M128  &gt;=1000,  IF(E70 &gt;=D$74, D$74, E70),0),0)</f>
        <v>0</v>
      </c>
      <c r="G70" s="583">
        <v>2</v>
      </c>
      <c r="H70" s="584"/>
      <c r="I70" s="289">
        <f t="shared" si="9"/>
        <v>0</v>
      </c>
      <c r="J70" s="591">
        <f>IF(+Pkge!I$210&gt;=5000,IF(Pkge!$M128&gt;=1000,IF(+Pkge!AC$144&gt;=2,IF(E70&gt;F70,E70-F70,F70-E70),0),0),0)</f>
        <v>0</v>
      </c>
      <c r="K70" s="592"/>
      <c r="L70" s="579">
        <v>1.25</v>
      </c>
      <c r="M70" s="580"/>
      <c r="N70" s="290">
        <f t="shared" si="10"/>
        <v>0</v>
      </c>
      <c r="O70" s="453">
        <f t="shared" si="11"/>
        <v>0</v>
      </c>
      <c r="P70" s="435"/>
    </row>
    <row r="71" spans="1:17" ht="21" hidden="1" customHeight="1" thickBot="1">
      <c r="A71" s="435"/>
      <c r="B71" s="293"/>
      <c r="C71" s="293"/>
      <c r="D71" s="293"/>
      <c r="E71" s="293"/>
      <c r="F71" s="671" t="s">
        <v>39</v>
      </c>
      <c r="G71" s="672"/>
      <c r="H71" s="672"/>
      <c r="I71" s="185">
        <f>SUM(I48:I70)</f>
        <v>0</v>
      </c>
      <c r="J71" s="673" t="s">
        <v>40</v>
      </c>
      <c r="K71" s="674"/>
      <c r="L71" s="674"/>
      <c r="M71" s="674"/>
      <c r="N71" s="185">
        <f>SUM(N48:N70)</f>
        <v>0</v>
      </c>
      <c r="O71" s="185">
        <f>SUM(O48:O70)</f>
        <v>0</v>
      </c>
      <c r="P71" s="435"/>
      <c r="Q71" s="452"/>
    </row>
    <row r="72" spans="1:17" ht="21" hidden="1" customHeight="1">
      <c r="A72" s="435"/>
      <c r="B72" s="457" t="s">
        <v>41</v>
      </c>
      <c r="C72" s="458"/>
      <c r="D72" s="459">
        <f>+Pkge!L135</f>
        <v>0</v>
      </c>
      <c r="E72" s="265"/>
      <c r="F72" s="411"/>
      <c r="G72" s="265"/>
      <c r="H72" s="265"/>
      <c r="I72" s="298"/>
      <c r="J72" s="265"/>
      <c r="K72" s="265"/>
      <c r="L72" s="581"/>
      <c r="M72" s="582"/>
      <c r="N72" s="582"/>
      <c r="O72" s="264"/>
      <c r="P72" s="435"/>
    </row>
    <row r="73" spans="1:17" ht="21" hidden="1" customHeight="1">
      <c r="A73" s="435"/>
      <c r="B73" s="460" t="s">
        <v>42</v>
      </c>
      <c r="C73" s="294"/>
      <c r="D73" s="461">
        <f>+Pkge!L136</f>
        <v>0</v>
      </c>
      <c r="E73" s="265"/>
      <c r="F73" s="265"/>
      <c r="G73" s="265"/>
      <c r="H73" s="265"/>
      <c r="I73" s="264"/>
      <c r="J73" s="265"/>
      <c r="K73" s="265"/>
      <c r="L73" s="265"/>
      <c r="M73" s="265"/>
      <c r="N73" s="264"/>
      <c r="O73" s="264"/>
      <c r="P73" s="435"/>
    </row>
    <row r="74" spans="1:17" ht="21" hidden="1" customHeight="1" thickBot="1">
      <c r="A74" s="435"/>
      <c r="B74" s="462" t="s">
        <v>43</v>
      </c>
      <c r="C74" s="463"/>
      <c r="D74" s="464">
        <f>+Pkge!L135+Pkge!L136</f>
        <v>0</v>
      </c>
      <c r="E74" s="265"/>
      <c r="F74" s="265"/>
      <c r="G74" s="265"/>
      <c r="H74" s="265"/>
      <c r="I74" s="264"/>
      <c r="J74" s="295"/>
      <c r="K74" s="296"/>
      <c r="L74" s="265"/>
      <c r="M74" s="297"/>
      <c r="N74" s="299"/>
      <c r="O74" s="264"/>
      <c r="P74" s="435"/>
    </row>
    <row r="75" spans="1:17" ht="21" hidden="1" customHeight="1" thickBot="1">
      <c r="A75" s="435"/>
      <c r="B75" s="265"/>
      <c r="C75" s="265"/>
      <c r="D75" s="265"/>
      <c r="E75" s="577"/>
      <c r="F75" s="578"/>
      <c r="G75" s="578"/>
      <c r="H75" s="578"/>
      <c r="I75" s="578"/>
      <c r="J75" s="578"/>
      <c r="K75" s="410"/>
      <c r="L75" s="265"/>
      <c r="M75" s="265"/>
      <c r="N75" s="302"/>
      <c r="O75" s="265"/>
      <c r="P75" s="435"/>
    </row>
    <row r="76" spans="1:17" ht="21" hidden="1" customHeight="1">
      <c r="A76" s="435"/>
      <c r="B76" s="265"/>
      <c r="C76" s="265"/>
      <c r="D76" s="265"/>
      <c r="E76" s="566" t="s">
        <v>44</v>
      </c>
      <c r="F76" s="567"/>
      <c r="G76" s="567"/>
      <c r="H76" s="567"/>
      <c r="I76" s="567"/>
      <c r="J76" s="568"/>
      <c r="K76" s="477">
        <f>+IF( $D$74 &gt; 0, $I$71/D$74,0)</f>
        <v>0</v>
      </c>
      <c r="L76" s="265"/>
      <c r="M76" s="265"/>
      <c r="N76" s="265"/>
      <c r="O76" s="265"/>
      <c r="P76" s="435"/>
    </row>
    <row r="77" spans="1:17" ht="21" hidden="1" customHeight="1">
      <c r="A77" s="435"/>
      <c r="B77" s="265"/>
      <c r="C77" s="265"/>
      <c r="D77" s="265"/>
      <c r="E77" s="569" t="s">
        <v>45</v>
      </c>
      <c r="F77" s="570"/>
      <c r="G77" s="570"/>
      <c r="H77" s="570"/>
      <c r="I77" s="570"/>
      <c r="J77" s="571"/>
      <c r="K77" s="478">
        <f>IF(D72 &gt;0,+$K$76*Pkge!C135,0)</f>
        <v>0</v>
      </c>
      <c r="L77" s="265"/>
      <c r="M77" s="265"/>
      <c r="N77" s="265"/>
      <c r="O77" s="265"/>
      <c r="P77" s="435"/>
    </row>
    <row r="78" spans="1:17" ht="21" hidden="1" customHeight="1" thickBot="1">
      <c r="A78" s="435"/>
      <c r="B78" s="265"/>
      <c r="C78" s="265"/>
      <c r="D78" s="265"/>
      <c r="E78" s="572" t="s">
        <v>46</v>
      </c>
      <c r="F78" s="573"/>
      <c r="G78" s="573"/>
      <c r="H78" s="573"/>
      <c r="I78" s="573"/>
      <c r="J78" s="574"/>
      <c r="K78" s="479">
        <f>IF(D73 &gt;0,+$K$76*Pkge!C136,0)</f>
        <v>0</v>
      </c>
      <c r="L78" s="265"/>
      <c r="M78" s="265"/>
      <c r="N78" s="265"/>
      <c r="O78" s="265"/>
      <c r="P78" s="435"/>
    </row>
    <row r="79" spans="1:17" ht="22.5" hidden="1" customHeight="1" thickBot="1">
      <c r="A79" s="435"/>
      <c r="B79" s="368"/>
      <c r="C79" s="265"/>
      <c r="D79" s="368"/>
      <c r="E79" s="366"/>
      <c r="F79" s="367"/>
      <c r="G79" s="367"/>
      <c r="H79" s="367"/>
      <c r="I79" s="367"/>
      <c r="J79" s="367"/>
      <c r="K79" s="300"/>
      <c r="L79" s="265"/>
      <c r="M79" s="265"/>
      <c r="N79" s="265"/>
      <c r="O79" s="265"/>
      <c r="P79" s="435"/>
    </row>
    <row r="80" spans="1:17" ht="112.5" hidden="1" customHeight="1" thickBot="1">
      <c r="A80" s="435"/>
      <c r="B80" s="446" t="s">
        <v>47</v>
      </c>
      <c r="C80" s="603" t="s">
        <v>48</v>
      </c>
      <c r="D80" s="641"/>
      <c r="E80" s="448" t="s">
        <v>49</v>
      </c>
      <c r="F80" s="450" t="s">
        <v>50</v>
      </c>
      <c r="G80" s="603" t="s">
        <v>51</v>
      </c>
      <c r="H80" s="648"/>
      <c r="I80" s="603" t="s">
        <v>30</v>
      </c>
      <c r="J80" s="604"/>
      <c r="K80" s="649" t="s">
        <v>52</v>
      </c>
      <c r="L80" s="745"/>
      <c r="M80" s="265"/>
      <c r="N80" s="265"/>
      <c r="O80" s="265"/>
      <c r="P80" s="435"/>
    </row>
    <row r="81" spans="1:16" ht="5.25" hidden="1" customHeight="1">
      <c r="A81" s="435"/>
      <c r="B81" s="465"/>
      <c r="C81" s="366"/>
      <c r="D81" s="265"/>
      <c r="E81" s="265"/>
      <c r="F81" s="367"/>
      <c r="G81" s="367"/>
      <c r="H81" s="367"/>
      <c r="I81" s="367"/>
      <c r="J81" s="367"/>
      <c r="K81" s="367"/>
      <c r="L81" s="466"/>
      <c r="M81" s="265"/>
      <c r="N81" s="265"/>
      <c r="O81" s="265"/>
      <c r="P81" s="435"/>
    </row>
    <row r="82" spans="1:16" ht="15.75" hidden="1" customHeight="1">
      <c r="A82" s="435"/>
      <c r="B82" s="467" t="str">
        <f>+C56</f>
        <v>CORVUS</v>
      </c>
      <c r="C82" s="646">
        <f>+E56</f>
        <v>0</v>
      </c>
      <c r="D82" s="746"/>
      <c r="E82" s="373">
        <f>IF(Pkge!M143 &gt;=1000,Pkge!L143,0)</f>
        <v>0</v>
      </c>
      <c r="F82" s="369">
        <f>+Pkge!L153</f>
        <v>0</v>
      </c>
      <c r="G82" s="678">
        <f>IF(Pkge!M$153&gt;=1000,IF(E82&gt;=F$82,F$82,E82),0)</f>
        <v>0</v>
      </c>
      <c r="H82" s="679"/>
      <c r="I82" s="642">
        <v>0.25</v>
      </c>
      <c r="J82" s="643"/>
      <c r="K82" s="650">
        <f>+G82*I82</f>
        <v>0</v>
      </c>
      <c r="L82" s="747"/>
      <c r="M82" s="265"/>
      <c r="N82" s="265"/>
      <c r="O82" s="265"/>
      <c r="P82" s="435"/>
    </row>
    <row r="83" spans="1:16" ht="15.75" hidden="1" customHeight="1">
      <c r="A83" s="435"/>
      <c r="B83" s="467" t="str">
        <f>+C57</f>
        <v>LAUDIS</v>
      </c>
      <c r="C83" s="646">
        <f>+E57</f>
        <v>0</v>
      </c>
      <c r="D83" s="746"/>
      <c r="E83" s="373">
        <f>IF(Pkge!M137 &gt;=1000,Pkge!L137,0)</f>
        <v>0</v>
      </c>
      <c r="F83" s="370"/>
      <c r="G83" s="678">
        <f>IF(Pkge!M$153&gt;=1000,IF(E83&gt;=F$82,F$82,E83),0)</f>
        <v>0</v>
      </c>
      <c r="H83" s="679"/>
      <c r="I83" s="642">
        <v>0.25</v>
      </c>
      <c r="J83" s="643"/>
      <c r="K83" s="650">
        <f t="shared" ref="K83:K85" si="12">+G83*I83</f>
        <v>0</v>
      </c>
      <c r="L83" s="747"/>
      <c r="M83" s="265"/>
      <c r="N83" s="265"/>
      <c r="O83" s="265"/>
      <c r="P83" s="435"/>
    </row>
    <row r="84" spans="1:16" ht="15.75" hidden="1" customHeight="1">
      <c r="A84" s="435"/>
      <c r="B84" s="467" t="str">
        <f>+C59</f>
        <v>ROUNDUP XTEND/XTEND 2</v>
      </c>
      <c r="C84" s="646">
        <v>0</v>
      </c>
      <c r="D84" s="746"/>
      <c r="E84" s="373">
        <v>0</v>
      </c>
      <c r="F84" s="370"/>
      <c r="G84" s="678">
        <f>IF(Pkge!M$153&gt;=1000,IF(E84&gt;=F$82,F$82,E84),0)</f>
        <v>0</v>
      </c>
      <c r="H84" s="679"/>
      <c r="I84" s="642">
        <v>0</v>
      </c>
      <c r="J84" s="643"/>
      <c r="K84" s="650">
        <v>0</v>
      </c>
      <c r="L84" s="747"/>
      <c r="M84" s="265"/>
      <c r="N84" s="265"/>
      <c r="O84" s="265"/>
      <c r="P84" s="435"/>
    </row>
    <row r="85" spans="1:16" ht="15.75" hidden="1" customHeight="1" thickBot="1">
      <c r="A85" s="435"/>
      <c r="B85" s="468" t="str">
        <f>+C$62</f>
        <v>XTENDIMAX/XTENDIMAX 2</v>
      </c>
      <c r="C85" s="647">
        <f>+E$62</f>
        <v>0</v>
      </c>
      <c r="D85" s="748"/>
      <c r="E85" s="469">
        <f>IF(Pkge!M134 &gt;=1000,Pkge!L134,0)</f>
        <v>0</v>
      </c>
      <c r="F85" s="470"/>
      <c r="G85" s="680">
        <f>IF(Pkge!M$153&gt;=1000,IF(E85&gt;=F$82,F$82,E85),0)</f>
        <v>0</v>
      </c>
      <c r="H85" s="681"/>
      <c r="I85" s="644">
        <v>0.25</v>
      </c>
      <c r="J85" s="645"/>
      <c r="K85" s="675">
        <f t="shared" si="12"/>
        <v>0</v>
      </c>
      <c r="L85" s="749"/>
      <c r="M85" s="265"/>
      <c r="N85" s="265"/>
      <c r="O85" s="265"/>
      <c r="P85" s="435"/>
    </row>
    <row r="86" spans="1:16" ht="15.75" hidden="1" customHeight="1">
      <c r="A86" s="435"/>
      <c r="B86" s="301"/>
      <c r="C86" s="274"/>
      <c r="D86" s="265"/>
      <c r="E86" s="265"/>
      <c r="F86" s="274"/>
      <c r="G86" s="265"/>
      <c r="H86" s="371" t="str">
        <f>+B80 &amp; " Rebate"</f>
        <v>Roundup® Key Product Focus Rebate</v>
      </c>
      <c r="I86" s="274"/>
      <c r="J86" s="372"/>
      <c r="K86" s="676">
        <f>SUM(K82:L85)</f>
        <v>0</v>
      </c>
      <c r="L86" s="677"/>
      <c r="M86" s="265"/>
      <c r="N86" s="265"/>
      <c r="O86" s="265"/>
      <c r="P86" s="435"/>
    </row>
    <row r="87" spans="1:16" ht="15.75" hidden="1" customHeight="1">
      <c r="A87" s="435"/>
      <c r="B87" s="301"/>
      <c r="C87" s="274"/>
      <c r="D87" s="265"/>
      <c r="E87" s="265"/>
      <c r="F87" s="274"/>
      <c r="G87" s="265"/>
      <c r="H87" s="265"/>
      <c r="I87" s="371"/>
      <c r="J87" s="372"/>
      <c r="K87" s="265"/>
      <c r="L87" s="265"/>
      <c r="M87" s="265"/>
      <c r="N87" s="265"/>
      <c r="O87" s="265"/>
      <c r="P87" s="435"/>
    </row>
    <row r="88" spans="1:16" ht="15.75" hidden="1" customHeight="1" thickBot="1">
      <c r="A88" s="435"/>
      <c r="B88" s="301"/>
      <c r="C88" s="274"/>
      <c r="D88" s="265"/>
      <c r="E88" s="265"/>
      <c r="F88" s="274"/>
      <c r="G88" s="265"/>
      <c r="H88" s="265"/>
      <c r="I88" s="371"/>
      <c r="J88" s="372"/>
      <c r="K88" s="265"/>
      <c r="L88" s="265"/>
      <c r="M88" s="265"/>
      <c r="N88" s="265"/>
      <c r="O88" s="265"/>
      <c r="P88" s="435"/>
    </row>
    <row r="89" spans="1:16" ht="24.95" hidden="1" customHeight="1" thickBot="1">
      <c r="A89" s="435"/>
      <c r="B89" s="265"/>
      <c r="C89" s="301"/>
      <c r="D89" s="270"/>
      <c r="E89" s="274"/>
      <c r="F89" s="274"/>
      <c r="G89" s="750" t="s">
        <v>53</v>
      </c>
      <c r="H89" s="751"/>
      <c r="I89" s="751"/>
      <c r="J89" s="751"/>
      <c r="K89" s="751"/>
      <c r="L89" s="751"/>
      <c r="M89" s="634">
        <f>+O71</f>
        <v>0</v>
      </c>
      <c r="N89" s="635"/>
      <c r="O89" s="265"/>
      <c r="P89" s="435"/>
    </row>
    <row r="90" spans="1:16" ht="24.95" hidden="1" customHeight="1" thickBot="1">
      <c r="A90" s="435"/>
      <c r="B90" s="368"/>
      <c r="C90" s="301"/>
      <c r="D90" s="270"/>
      <c r="E90" s="274"/>
      <c r="F90" s="274"/>
      <c r="G90" s="750" t="str">
        <f>+H86</f>
        <v>Roundup® Key Product Focus Rebate</v>
      </c>
      <c r="H90" s="751"/>
      <c r="I90" s="751"/>
      <c r="J90" s="751"/>
      <c r="K90" s="751"/>
      <c r="L90" s="751"/>
      <c r="M90" s="555">
        <f>+K86</f>
        <v>0</v>
      </c>
      <c r="N90" s="556"/>
      <c r="O90" s="265"/>
      <c r="P90" s="435"/>
    </row>
    <row r="91" spans="1:16" ht="24.95" hidden="1" customHeight="1" thickBot="1">
      <c r="A91" s="435"/>
      <c r="B91" s="639"/>
      <c r="C91" s="640"/>
      <c r="D91" s="640"/>
      <c r="E91" s="640"/>
      <c r="F91" s="640"/>
      <c r="G91" s="750" t="s">
        <v>54</v>
      </c>
      <c r="H91" s="751"/>
      <c r="I91" s="751"/>
      <c r="J91" s="751"/>
      <c r="K91" s="751"/>
      <c r="L91" s="751"/>
      <c r="M91" s="555">
        <f>ROUND(IF((O71) &gt;0, IF(U16 = TRUE, 0.5*Y16,0),0),0)</f>
        <v>0</v>
      </c>
      <c r="N91" s="556"/>
      <c r="O91" s="265"/>
      <c r="P91" s="435"/>
    </row>
    <row r="92" spans="1:16" ht="28.5" hidden="1" customHeight="1" thickBot="1">
      <c r="A92" s="435"/>
      <c r="B92" s="265"/>
      <c r="C92" s="265"/>
      <c r="D92" s="265"/>
      <c r="E92" s="265"/>
      <c r="F92" s="301"/>
      <c r="G92" s="752" t="str">
        <f>+R14</f>
        <v>Total BayerValue™ Rebate</v>
      </c>
      <c r="H92" s="753"/>
      <c r="I92" s="753"/>
      <c r="J92" s="753"/>
      <c r="K92" s="753"/>
      <c r="L92" s="753"/>
      <c r="M92" s="564">
        <f>SUM(M89:N91)</f>
        <v>0</v>
      </c>
      <c r="N92" s="565"/>
      <c r="O92" s="265"/>
      <c r="P92" s="435"/>
    </row>
    <row r="93" spans="1:16" ht="28.5" customHeight="1">
      <c r="A93" s="435"/>
      <c r="B93" s="553"/>
      <c r="C93" s="554"/>
      <c r="D93" s="554"/>
      <c r="E93" s="554"/>
      <c r="F93" s="554"/>
      <c r="G93" s="554"/>
      <c r="H93" s="554"/>
      <c r="I93" s="554"/>
      <c r="J93" s="554"/>
      <c r="K93" s="554"/>
      <c r="L93" s="554"/>
      <c r="M93" s="554"/>
      <c r="N93" s="554"/>
      <c r="O93" s="554"/>
      <c r="P93" s="435"/>
    </row>
    <row r="94" spans="1:16" ht="15" customHeight="1">
      <c r="A94" s="435"/>
      <c r="B94" s="435"/>
      <c r="C94" s="435"/>
      <c r="D94" s="435"/>
      <c r="E94" s="435"/>
      <c r="F94" s="435"/>
      <c r="G94" s="435"/>
      <c r="H94" s="435"/>
      <c r="I94" s="435"/>
      <c r="J94" s="435"/>
      <c r="K94" s="435"/>
      <c r="L94" s="435"/>
      <c r="M94" s="435"/>
      <c r="N94" s="435"/>
      <c r="O94" s="435"/>
      <c r="P94" s="435"/>
    </row>
    <row r="95" spans="1:16" ht="15" hidden="1" customHeight="1">
      <c r="B95" s="657" t="e">
        <f>+Rebate_Summary!#REF!</f>
        <v>#REF!</v>
      </c>
      <c r="C95" s="658"/>
      <c r="D95" s="658"/>
      <c r="E95" s="658"/>
      <c r="F95" s="658"/>
      <c r="G95" s="658"/>
      <c r="H95" s="658"/>
      <c r="I95" s="658"/>
      <c r="J95" s="658"/>
      <c r="K95" s="658"/>
      <c r="L95" s="658"/>
      <c r="M95" s="658"/>
      <c r="N95" s="659"/>
    </row>
    <row r="96" spans="1:16" ht="15" hidden="1" customHeight="1">
      <c r="B96" s="660"/>
      <c r="C96" s="661"/>
      <c r="D96" s="661"/>
      <c r="E96" s="661"/>
      <c r="F96" s="661"/>
      <c r="G96" s="661"/>
      <c r="H96" s="661"/>
      <c r="I96" s="661"/>
      <c r="J96" s="661"/>
      <c r="K96" s="661"/>
      <c r="L96" s="661"/>
      <c r="M96" s="661"/>
      <c r="N96" s="662"/>
    </row>
    <row r="97" spans="2:14" ht="15" hidden="1" customHeight="1">
      <c r="B97" s="663"/>
      <c r="C97" s="664"/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5"/>
    </row>
    <row r="98" spans="2:14" ht="15" customHeight="1"/>
    <row r="99" spans="2:14" ht="15" customHeight="1"/>
    <row r="100" spans="2:14" ht="15" customHeight="1"/>
    <row r="101" spans="2:14" ht="15" customHeight="1"/>
    <row r="102" spans="2:14" ht="15" customHeight="1"/>
    <row r="103" spans="2:14" ht="15" customHeight="1"/>
    <row r="104" spans="2:14" ht="15" customHeight="1"/>
    <row r="105" spans="2:14" ht="15" customHeight="1"/>
    <row r="106" spans="2:14" ht="15" customHeight="1"/>
    <row r="107" spans="2:14" ht="15" customHeight="1"/>
    <row r="108" spans="2:14" ht="15" customHeight="1"/>
    <row r="109" spans="2:14" ht="15" customHeight="1"/>
    <row r="110" spans="2:14" ht="15" customHeight="1"/>
    <row r="111" spans="2:14" ht="15" customHeight="1"/>
    <row r="112" spans="2:14" ht="15" customHeight="1"/>
    <row r="113" customFormat="1" ht="15" customHeight="1"/>
    <row r="114" customFormat="1" ht="15" customHeight="1"/>
    <row r="115" customFormat="1" ht="15" customHeight="1"/>
    <row r="116" customFormat="1" ht="15" customHeight="1"/>
    <row r="117" customFormat="1" ht="15" customHeight="1"/>
    <row r="118" customFormat="1" ht="15" customHeight="1"/>
    <row r="119" customFormat="1" ht="15" customHeight="1"/>
    <row r="120" customFormat="1" ht="15" customHeight="1"/>
    <row r="121" customFormat="1" ht="15" customHeight="1"/>
    <row r="122" customFormat="1" ht="15" customHeight="1"/>
    <row r="123" customFormat="1" ht="15" customHeight="1"/>
    <row r="124" customFormat="1" ht="15" customHeight="1"/>
    <row r="125" customFormat="1" ht="15" customHeight="1"/>
    <row r="126" customFormat="1" ht="15" customHeight="1"/>
    <row r="127" customFormat="1" ht="15" customHeight="1"/>
    <row r="128" customFormat="1" ht="15" customHeight="1"/>
    <row r="129" customFormat="1" ht="15" customHeight="1"/>
    <row r="130" customFormat="1" ht="15" customHeight="1"/>
    <row r="131" customFormat="1" ht="15" customHeight="1"/>
    <row r="132" customFormat="1" ht="15" customHeight="1"/>
    <row r="133" customFormat="1" ht="15" customHeight="1"/>
    <row r="134" customFormat="1" ht="15" customHeight="1"/>
    <row r="135" customFormat="1" ht="15" customHeight="1"/>
    <row r="136" customFormat="1" ht="15" customHeigh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</sheetData>
  <sheetProtection algorithmName="SHA-512" hashValue="Izo7DW2QWrtPG/mQk1ehxAqOyTT4EVuibssYttK5tBEMY4NqqlRjxFRT7N4eaQ3c0M3aeyLk1wTmVIIwVpAHOA==" saltValue="vCkYRK62JMfjAjMsWyGS8Q==" spinCount="100000" sheet="1" objects="1" scenarios="1"/>
  <protectedRanges>
    <protectedRange sqref="G13:G33" name="Range4"/>
    <protectedRange sqref="C13:C34" name="Range3"/>
    <protectedRange sqref="M6" name="Range2"/>
    <protectedRange sqref="C6" name="Range1"/>
    <protectedRange sqref="C38:C39" name="Range5"/>
    <protectedRange sqref="U16:U17" name="Range6"/>
  </protectedRanges>
  <dataConsolidate/>
  <mergeCells count="135">
    <mergeCell ref="B95:N97"/>
    <mergeCell ref="G89:L89"/>
    <mergeCell ref="G90:L90"/>
    <mergeCell ref="G91:L91"/>
    <mergeCell ref="G92:L92"/>
    <mergeCell ref="D1:F2"/>
    <mergeCell ref="D3:F3"/>
    <mergeCell ref="D4:F4"/>
    <mergeCell ref="N29:N30"/>
    <mergeCell ref="N31:N32"/>
    <mergeCell ref="N33:N34"/>
    <mergeCell ref="F71:H71"/>
    <mergeCell ref="J71:M71"/>
    <mergeCell ref="J31:M32"/>
    <mergeCell ref="K85:L85"/>
    <mergeCell ref="K86:L86"/>
    <mergeCell ref="G82:H82"/>
    <mergeCell ref="G83:H83"/>
    <mergeCell ref="G84:H84"/>
    <mergeCell ref="G85:H85"/>
    <mergeCell ref="J60:K60"/>
    <mergeCell ref="L60:M60"/>
    <mergeCell ref="G55:H55"/>
    <mergeCell ref="L54:M54"/>
    <mergeCell ref="L49:M49"/>
    <mergeCell ref="L50:M50"/>
    <mergeCell ref="L51:M51"/>
    <mergeCell ref="L52:M52"/>
    <mergeCell ref="J54:K54"/>
    <mergeCell ref="J51:K51"/>
    <mergeCell ref="J52:K52"/>
    <mergeCell ref="J48:K48"/>
    <mergeCell ref="J49:K49"/>
    <mergeCell ref="L55:M55"/>
    <mergeCell ref="G68:H68"/>
    <mergeCell ref="M90:N90"/>
    <mergeCell ref="M89:N89"/>
    <mergeCell ref="J33:M34"/>
    <mergeCell ref="B36:D36"/>
    <mergeCell ref="B91:F91"/>
    <mergeCell ref="C80:D80"/>
    <mergeCell ref="I80:J80"/>
    <mergeCell ref="I82:J82"/>
    <mergeCell ref="I83:J83"/>
    <mergeCell ref="I84:J84"/>
    <mergeCell ref="I85:J85"/>
    <mergeCell ref="C82:D82"/>
    <mergeCell ref="C83:D83"/>
    <mergeCell ref="C84:D84"/>
    <mergeCell ref="C85:D85"/>
    <mergeCell ref="G80:H80"/>
    <mergeCell ref="K80:L80"/>
    <mergeCell ref="K82:L82"/>
    <mergeCell ref="K83:L83"/>
    <mergeCell ref="K84:L84"/>
    <mergeCell ref="L48:M48"/>
    <mergeCell ref="L46:M46"/>
    <mergeCell ref="L65:M65"/>
    <mergeCell ref="L66:M66"/>
    <mergeCell ref="J57:K57"/>
    <mergeCell ref="L57:M57"/>
    <mergeCell ref="L62:M62"/>
    <mergeCell ref="J62:K62"/>
    <mergeCell ref="J61:K61"/>
    <mergeCell ref="L61:M61"/>
    <mergeCell ref="J58:K58"/>
    <mergeCell ref="L58:M58"/>
    <mergeCell ref="J59:K59"/>
    <mergeCell ref="L59:M59"/>
    <mergeCell ref="F35:G35"/>
    <mergeCell ref="B44:F44"/>
    <mergeCell ref="C46:D46"/>
    <mergeCell ref="G46:H46"/>
    <mergeCell ref="B45:F45"/>
    <mergeCell ref="E42:K42"/>
    <mergeCell ref="M2:N2"/>
    <mergeCell ref="M3:N3"/>
    <mergeCell ref="M6:N6"/>
    <mergeCell ref="M5:N5"/>
    <mergeCell ref="J35:M35"/>
    <mergeCell ref="J11:O12"/>
    <mergeCell ref="B11:B12"/>
    <mergeCell ref="F11:F12"/>
    <mergeCell ref="J29:M30"/>
    <mergeCell ref="H35:I35"/>
    <mergeCell ref="C6:F6"/>
    <mergeCell ref="D11:E11"/>
    <mergeCell ref="H11:I11"/>
    <mergeCell ref="J15:M15"/>
    <mergeCell ref="G8:I9"/>
    <mergeCell ref="J70:K70"/>
    <mergeCell ref="G65:H65"/>
    <mergeCell ref="G48:H48"/>
    <mergeCell ref="G49:H49"/>
    <mergeCell ref="G54:H54"/>
    <mergeCell ref="G60:H60"/>
    <mergeCell ref="G58:H58"/>
    <mergeCell ref="G57:H57"/>
    <mergeCell ref="G59:H59"/>
    <mergeCell ref="G67:H67"/>
    <mergeCell ref="G51:H51"/>
    <mergeCell ref="G52:H52"/>
    <mergeCell ref="G66:H66"/>
    <mergeCell ref="G62:H62"/>
    <mergeCell ref="G61:H61"/>
    <mergeCell ref="G50:H50"/>
    <mergeCell ref="G69:H69"/>
    <mergeCell ref="G56:H56"/>
    <mergeCell ref="J56:K56"/>
    <mergeCell ref="J65:K65"/>
    <mergeCell ref="J55:K55"/>
    <mergeCell ref="A48:A64"/>
    <mergeCell ref="A13:A29"/>
    <mergeCell ref="B93:O93"/>
    <mergeCell ref="M91:N91"/>
    <mergeCell ref="J13:M13"/>
    <mergeCell ref="J66:K66"/>
    <mergeCell ref="J50:K50"/>
    <mergeCell ref="M92:N92"/>
    <mergeCell ref="E76:J76"/>
    <mergeCell ref="E77:J77"/>
    <mergeCell ref="E78:J78"/>
    <mergeCell ref="L56:M56"/>
    <mergeCell ref="E75:J75"/>
    <mergeCell ref="J67:K67"/>
    <mergeCell ref="L67:M67"/>
    <mergeCell ref="L70:M70"/>
    <mergeCell ref="L72:N72"/>
    <mergeCell ref="G70:H70"/>
    <mergeCell ref="J44:O45"/>
    <mergeCell ref="J46:K46"/>
    <mergeCell ref="L68:M68"/>
    <mergeCell ref="L69:M69"/>
    <mergeCell ref="J69:K69"/>
    <mergeCell ref="J68:K68"/>
  </mergeCells>
  <phoneticPr fontId="51" type="noConversion"/>
  <dataValidations xWindow="456" yWindow="194" count="7">
    <dataValidation allowBlank="1" showInputMessage="1" showErrorMessage="1" prompt="Enter a clearly defined name" sqref="C7:E7" xr:uid="{00000000-0002-0000-0100-000004000000}"/>
    <dataValidation type="decimal" operator="greaterThanOrEqual" allowBlank="1" showErrorMessage="1" errorTitle="Invalid entry!" error="You must enter a number." sqref="D14" xr:uid="{00000000-0002-0000-0100-000007000000}">
      <formula1>-999999999</formula1>
    </dataValidation>
    <dataValidation allowBlank="1" showErrorMessage="1" sqref="C6:F6" xr:uid="{00000000-0002-0000-0100-000008000000}"/>
    <dataValidation type="decimal" operator="greaterThanOrEqual" allowBlank="1" showErrorMessage="1" error="You must enter a non-negative number." sqref="G34 G36:G39" xr:uid="{F08F838C-5F9E-4553-A2E6-F61BE137B9B7}">
      <formula1>0</formula1>
    </dataValidation>
    <dataValidation type="decimal" operator="greaterThanOrEqual" allowBlank="1" showErrorMessage="1" errorTitle="Bayer CropScience" error="You must enter a number." sqref="G13:G33 C38:C39 C13:C34" xr:uid="{BAB3C387-EEAD-4E9E-8820-0E715B269A02}">
      <formula1>-999999999</formula1>
    </dataValidation>
    <dataValidation type="date" operator="greaterThan" allowBlank="1" showInputMessage="1" showErrorMessage="1" error="Enter a valid date" prompt="Enter a valid date" sqref="M6:N6" xr:uid="{A2FD7F0A-FF24-49E5-B3DA-CE6C3B855A1E}">
      <formula1>1</formula1>
    </dataValidation>
    <dataValidation operator="greaterThanOrEqual" allowBlank="1" showInputMessage="1" showErrorMessage="1" sqref="N7" xr:uid="{00000000-0002-0000-0100-000001000000}"/>
  </dataValidations>
  <pageMargins left="0.7" right="0.7" top="0.75" bottom="0.75" header="0.3" footer="0.3"/>
  <pageSetup orientation="portrait" horizontalDpi="4294967293" verticalDpi="300" r:id="rId1"/>
  <drawing r:id="rId2"/>
  <legacyDrawing r:id="rId3"/>
  <controls>
    <mc:AlternateContent xmlns:mc="http://schemas.openxmlformats.org/markup-compatibility/2006">
      <mc:Choice Requires="x14">
        <control shapeId="2082" r:id="rId4" name="imgBValueLogo">
          <controlPr defaultSize="0" autoLine="0" autoPict="0" r:id="rId5">
            <anchor moveWithCells="1">
              <from>
                <xdr:col>0</xdr:col>
                <xdr:colOff>66675</xdr:colOff>
                <xdr:row>1</xdr:row>
                <xdr:rowOff>28575</xdr:rowOff>
              </from>
              <to>
                <xdr:col>2</xdr:col>
                <xdr:colOff>371475</xdr:colOff>
                <xdr:row>3</xdr:row>
                <xdr:rowOff>28575</xdr:rowOff>
              </to>
            </anchor>
          </controlPr>
        </control>
      </mc:Choice>
      <mc:Fallback>
        <control shapeId="2082" r:id="rId4" name="imgBValueLogo"/>
      </mc:Fallback>
    </mc:AlternateContent>
    <mc:AlternateContent xmlns:mc="http://schemas.openxmlformats.org/markup-compatibility/2006">
      <mc:Choice Requires="x14">
        <control shapeId="2084" r:id="rId6" name="optYes">
          <controlPr locked="0" defaultSize="0" autoLine="0" linkedCell="U16" r:id="rId7">
            <anchor>
              <from>
                <xdr:col>9</xdr:col>
                <xdr:colOff>38100</xdr:colOff>
                <xdr:row>7</xdr:row>
                <xdr:rowOff>66675</xdr:rowOff>
              </from>
              <to>
                <xdr:col>10</xdr:col>
                <xdr:colOff>47625</xdr:colOff>
                <xdr:row>8</xdr:row>
                <xdr:rowOff>161925</xdr:rowOff>
              </to>
            </anchor>
          </controlPr>
        </control>
      </mc:Choice>
      <mc:Fallback>
        <control shapeId="2084" r:id="rId6" name="optYes"/>
      </mc:Fallback>
    </mc:AlternateContent>
    <mc:AlternateContent xmlns:mc="http://schemas.openxmlformats.org/markup-compatibility/2006">
      <mc:Choice Requires="x14">
        <control shapeId="2085" r:id="rId8" name="optNo">
          <controlPr locked="0" defaultSize="0" autoLine="0" linkedCell="U17" r:id="rId9">
            <anchor>
              <from>
                <xdr:col>10</xdr:col>
                <xdr:colOff>85725</xdr:colOff>
                <xdr:row>7</xdr:row>
                <xdr:rowOff>66675</xdr:rowOff>
              </from>
              <to>
                <xdr:col>10</xdr:col>
                <xdr:colOff>590550</xdr:colOff>
                <xdr:row>8</xdr:row>
                <xdr:rowOff>171450</xdr:rowOff>
              </to>
            </anchor>
          </controlPr>
        </control>
      </mc:Choice>
      <mc:Fallback>
        <control shapeId="2085" r:id="rId8" name="optNo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 tint="-0.499984740745262"/>
  </sheetPr>
  <dimension ref="B1:O69"/>
  <sheetViews>
    <sheetView showGridLines="0" showRowColHeaders="0" workbookViewId="0">
      <selection activeCell="C5" sqref="C5:F5"/>
    </sheetView>
  </sheetViews>
  <sheetFormatPr defaultRowHeight="15"/>
  <cols>
    <col min="1" max="1" width="0.85546875" customWidth="1"/>
    <col min="2" max="2" width="19.28515625" customWidth="1"/>
    <col min="3" max="3" width="25.28515625" style="1" customWidth="1"/>
    <col min="4" max="4" width="13.42578125" style="1" customWidth="1"/>
    <col min="5" max="5" width="13" customWidth="1"/>
    <col min="6" max="6" width="12.7109375" customWidth="1"/>
    <col min="7" max="7" width="15.28515625" customWidth="1"/>
    <col min="8" max="8" width="13" customWidth="1"/>
    <col min="9" max="9" width="12.7109375" customWidth="1"/>
    <col min="10" max="10" width="15.28515625" customWidth="1"/>
    <col min="11" max="11" width="16.85546875" customWidth="1"/>
    <col min="12" max="12" width="0.85546875" hidden="1" customWidth="1"/>
    <col min="13" max="13" width="13.140625" customWidth="1"/>
    <col min="14" max="14" width="7" customWidth="1"/>
    <col min="15" max="15" width="1.28515625" customWidth="1"/>
    <col min="16" max="16" width="1.42578125" customWidth="1"/>
  </cols>
  <sheetData>
    <row r="1" spans="2:14" ht="8.25" customHeight="1">
      <c r="B1" s="413"/>
      <c r="C1" s="414"/>
      <c r="D1" s="414"/>
      <c r="E1" s="415"/>
      <c r="F1" s="415"/>
      <c r="G1" s="415"/>
      <c r="H1" s="415"/>
      <c r="I1" s="415"/>
      <c r="J1" s="415"/>
      <c r="K1" s="415"/>
      <c r="L1" s="415"/>
      <c r="M1" s="415"/>
      <c r="N1" s="416"/>
    </row>
    <row r="2" spans="2:14" ht="33" customHeight="1">
      <c r="B2" s="417"/>
      <c r="D2" s="688" t="str">
        <f>+Purchases!D1</f>
        <v>2025 BayerValue™  Rebate Calculator</v>
      </c>
      <c r="E2" s="688"/>
      <c r="F2" s="688"/>
      <c r="G2" s="688"/>
      <c r="H2" s="688"/>
      <c r="I2" s="510"/>
      <c r="J2" s="511"/>
      <c r="K2" s="511"/>
      <c r="L2" s="493"/>
      <c r="M2" s="494"/>
      <c r="N2" s="418"/>
    </row>
    <row r="3" spans="2:14" ht="17.25" customHeight="1">
      <c r="B3" s="417"/>
      <c r="F3" s="512" t="str">
        <f>+Purchases!D3 &amp; ", " &amp; Purchases!D4</f>
        <v>Eastern Canada Field Crops- for Estimate Purposes Only, Version 25.10P</v>
      </c>
      <c r="G3" s="513"/>
      <c r="H3" s="514"/>
      <c r="I3" s="513"/>
      <c r="J3" s="513"/>
      <c r="L3" s="493"/>
      <c r="M3" s="494"/>
      <c r="N3" s="418"/>
    </row>
    <row r="4" spans="2:14" ht="16.5" customHeight="1">
      <c r="B4" s="417"/>
      <c r="G4" s="509"/>
      <c r="H4" s="509"/>
      <c r="I4" s="509"/>
      <c r="J4" s="514"/>
      <c r="K4" s="514"/>
      <c r="L4" s="515"/>
      <c r="M4" s="515"/>
      <c r="N4" s="418"/>
    </row>
    <row r="5" spans="2:14" ht="17.100000000000001" customHeight="1">
      <c r="B5" s="419" t="str">
        <f>+Purchases!B6</f>
        <v>Farm Name:</v>
      </c>
      <c r="C5" s="690">
        <f>+Purchases!C6</f>
        <v>0</v>
      </c>
      <c r="D5" s="690"/>
      <c r="E5" s="691"/>
      <c r="F5" s="691"/>
      <c r="G5" s="516"/>
      <c r="I5" s="517" t="str">
        <f>"Total Rebate :"</f>
        <v>Total Rebate :</v>
      </c>
      <c r="J5" s="710">
        <f>+Purchases!N35</f>
        <v>0</v>
      </c>
      <c r="K5" s="754"/>
      <c r="L5" s="518"/>
      <c r="M5" s="518"/>
      <c r="N5" s="420"/>
    </row>
    <row r="6" spans="2:14" ht="9.75" customHeight="1">
      <c r="B6" s="421"/>
      <c r="C6" s="519"/>
      <c r="D6" s="519"/>
      <c r="E6" s="520"/>
      <c r="F6" s="520"/>
      <c r="G6" s="520"/>
      <c r="H6" s="521"/>
      <c r="I6" s="522"/>
      <c r="J6" s="16"/>
      <c r="K6" s="523"/>
      <c r="L6" s="518"/>
      <c r="M6" s="518"/>
      <c r="N6" s="420"/>
    </row>
    <row r="7" spans="2:14" ht="21" customHeight="1">
      <c r="B7" s="422" t="str">
        <f>+Purchases!E42</f>
        <v>BayerValue™ East Rewards</v>
      </c>
      <c r="C7" s="524"/>
      <c r="D7" s="525"/>
      <c r="E7" s="526"/>
      <c r="F7" s="52" t="s">
        <v>55</v>
      </c>
      <c r="G7" s="689">
        <f>IF(+Purchases!M6 = " ", " ", +Purchases!M6)</f>
        <v>0</v>
      </c>
      <c r="H7" s="689"/>
      <c r="K7" s="16"/>
      <c r="L7" s="16"/>
      <c r="M7" s="16"/>
      <c r="N7" s="418"/>
    </row>
    <row r="8" spans="2:14" ht="67.5" customHeight="1">
      <c r="B8" s="423"/>
      <c r="C8" s="393" t="str">
        <f>+Purchases!C46</f>
        <v>Product</v>
      </c>
      <c r="D8" s="393" t="str">
        <f>+Purchases!E46</f>
        <v>Total Crop Protection Brand Acres</v>
      </c>
      <c r="E8" s="393" t="str">
        <f>+Purchases!F46</f>
        <v>Matching Trait Acres*</v>
      </c>
      <c r="F8" s="393" t="str">
        <f>+Purchases!G46</f>
        <v>$/Acre on Matched Acres</v>
      </c>
      <c r="G8" s="393" t="str">
        <f>+Purchases!I46</f>
        <v>Rebate on Matched Trait Acres</v>
      </c>
      <c r="H8" s="396" t="str">
        <f>+Purchases!J46</f>
        <v>Unmatched Acres**</v>
      </c>
      <c r="I8" s="396" t="str">
        <f>+Purchases!L46</f>
        <v>$/Acre on Unmatched Acres</v>
      </c>
      <c r="J8" s="396" t="str">
        <f>+Purchases!N46</f>
        <v>Rebate on Unmatched Acres</v>
      </c>
      <c r="K8" s="393" t="str">
        <f>+Purchases!O46</f>
        <v>Total Reward</v>
      </c>
      <c r="N8" s="424"/>
    </row>
    <row r="9" spans="2:14" ht="16.5" customHeight="1">
      <c r="B9" s="425"/>
      <c r="C9" s="394"/>
      <c r="D9" s="395"/>
      <c r="E9" s="395"/>
      <c r="F9" s="395"/>
      <c r="G9" s="395"/>
      <c r="H9" s="395"/>
      <c r="I9" s="395"/>
      <c r="J9" s="395"/>
      <c r="K9" s="395"/>
      <c r="N9" s="426"/>
    </row>
    <row r="10" spans="2:14" ht="16.5" customHeight="1">
      <c r="B10" s="716" t="str">
        <f>+Purchases!B48</f>
        <v>Cereal Herbicides</v>
      </c>
      <c r="C10" s="386" t="str">
        <f>+Purchases!C48</f>
        <v xml:space="preserve">BUCTRIL M </v>
      </c>
      <c r="D10" s="387">
        <f>+Purchases!E48</f>
        <v>0</v>
      </c>
      <c r="E10" s="388">
        <f>+Purchases!F48</f>
        <v>0</v>
      </c>
      <c r="F10" s="389">
        <f>+Purchases!G48</f>
        <v>1</v>
      </c>
      <c r="G10" s="389">
        <f>+Purchases!I48</f>
        <v>0</v>
      </c>
      <c r="H10" s="390">
        <f>+Purchases!J48</f>
        <v>0</v>
      </c>
      <c r="I10" s="391">
        <f>+Purchases!L48</f>
        <v>0.5</v>
      </c>
      <c r="J10" s="389">
        <f>+Purchases!N48</f>
        <v>0</v>
      </c>
      <c r="K10" s="392">
        <f>+Purchases!O48</f>
        <v>0</v>
      </c>
      <c r="N10" s="426"/>
    </row>
    <row r="11" spans="2:14" ht="16.5" customHeight="1">
      <c r="B11" s="717"/>
      <c r="C11" s="386" t="str">
        <f>+Purchases!C49</f>
        <v>INFINITY FX</v>
      </c>
      <c r="D11" s="387">
        <f>+Purchases!E49</f>
        <v>0</v>
      </c>
      <c r="E11" s="388">
        <f>+Purchases!F49</f>
        <v>0</v>
      </c>
      <c r="F11" s="389">
        <f>+Purchases!G49</f>
        <v>2</v>
      </c>
      <c r="G11" s="389">
        <f>+Purchases!I49</f>
        <v>0</v>
      </c>
      <c r="H11" s="390">
        <f>+Purchases!J49</f>
        <v>0</v>
      </c>
      <c r="I11" s="391">
        <f>+Purchases!L49</f>
        <v>1.25</v>
      </c>
      <c r="J11" s="389">
        <f>+Purchases!N49</f>
        <v>0</v>
      </c>
      <c r="K11" s="392">
        <f>+Purchases!O49</f>
        <v>0</v>
      </c>
      <c r="N11" s="426"/>
    </row>
    <row r="12" spans="2:14" ht="16.5" customHeight="1">
      <c r="B12" s="717"/>
      <c r="C12" s="386" t="str">
        <f>+Purchases!C50</f>
        <v>INFINITY</v>
      </c>
      <c r="D12" s="387">
        <f>+Purchases!E50</f>
        <v>0</v>
      </c>
      <c r="E12" s="388">
        <f>+Purchases!F50</f>
        <v>0</v>
      </c>
      <c r="F12" s="389">
        <f>+Purchases!G50</f>
        <v>1.5</v>
      </c>
      <c r="G12" s="389">
        <f>+Purchases!I50</f>
        <v>0</v>
      </c>
      <c r="H12" s="390">
        <f>+Purchases!J50</f>
        <v>0</v>
      </c>
      <c r="I12" s="391">
        <f>+Purchases!L50</f>
        <v>1</v>
      </c>
      <c r="J12" s="389">
        <f>+Purchases!N50</f>
        <v>0</v>
      </c>
      <c r="K12" s="392">
        <f>+Purchases!O50</f>
        <v>0</v>
      </c>
      <c r="N12" s="426"/>
    </row>
    <row r="13" spans="2:14" ht="16.5" customHeight="1">
      <c r="B13" s="717"/>
      <c r="C13" s="386" t="str">
        <f>+Purchases!C51</f>
        <v>PUMA ADVANCE</v>
      </c>
      <c r="D13" s="387">
        <f>+Purchases!E51</f>
        <v>0</v>
      </c>
      <c r="E13" s="388">
        <f>+Purchases!F51</f>
        <v>0</v>
      </c>
      <c r="F13" s="389">
        <f>+Purchases!G51</f>
        <v>1</v>
      </c>
      <c r="G13" s="389">
        <f>+Purchases!I51</f>
        <v>0</v>
      </c>
      <c r="H13" s="390">
        <f>+Purchases!J51</f>
        <v>0</v>
      </c>
      <c r="I13" s="391">
        <f>+Purchases!L51</f>
        <v>0.5</v>
      </c>
      <c r="J13" s="389">
        <f>+Purchases!N51</f>
        <v>0</v>
      </c>
      <c r="K13" s="392">
        <f>+Purchases!O51</f>
        <v>0</v>
      </c>
      <c r="N13" s="426"/>
    </row>
    <row r="14" spans="2:14" ht="16.5" customHeight="1">
      <c r="B14" s="718"/>
      <c r="C14" s="386" t="str">
        <f>+Purchases!C52</f>
        <v>VARRO</v>
      </c>
      <c r="D14" s="387">
        <f>+Purchases!E52</f>
        <v>0</v>
      </c>
      <c r="E14" s="388">
        <f>+Purchases!F52</f>
        <v>0</v>
      </c>
      <c r="F14" s="389">
        <f>+Purchases!G52</f>
        <v>2</v>
      </c>
      <c r="G14" s="389">
        <f>+Purchases!I52</f>
        <v>0</v>
      </c>
      <c r="H14" s="390">
        <f>+Purchases!J52</f>
        <v>0</v>
      </c>
      <c r="I14" s="391">
        <f>+Purchases!L52</f>
        <v>1.25</v>
      </c>
      <c r="J14" s="389">
        <f>+Purchases!N52</f>
        <v>0</v>
      </c>
      <c r="K14" s="392">
        <f>+Purchases!O52</f>
        <v>0</v>
      </c>
      <c r="N14" s="426"/>
    </row>
    <row r="15" spans="2:14" ht="16.5" customHeight="1">
      <c r="B15" s="427"/>
      <c r="C15" s="527"/>
      <c r="D15" s="192"/>
      <c r="E15" s="193"/>
      <c r="F15" s="183"/>
      <c r="G15" s="183"/>
      <c r="H15" s="194"/>
      <c r="I15" s="182"/>
      <c r="J15" s="183"/>
      <c r="K15" s="185"/>
      <c r="N15" s="426"/>
    </row>
    <row r="16" spans="2:14" ht="16.5" customHeight="1">
      <c r="B16" s="711" t="str">
        <f>+Purchases!B54</f>
        <v>Corn and Soybean Herbicides</v>
      </c>
      <c r="C16" s="386" t="str">
        <f>+Purchases!C54</f>
        <v>CONVERGE FLEXX</v>
      </c>
      <c r="D16" s="387">
        <f>+Purchases!E54</f>
        <v>0</v>
      </c>
      <c r="E16" s="388">
        <f>+Purchases!F54</f>
        <v>0</v>
      </c>
      <c r="F16" s="389">
        <f>+Purchases!G54</f>
        <v>3</v>
      </c>
      <c r="G16" s="389">
        <f>+Purchases!I54</f>
        <v>0</v>
      </c>
      <c r="H16" s="390">
        <f>+Purchases!J54</f>
        <v>0</v>
      </c>
      <c r="I16" s="391">
        <f>+Purchases!L54</f>
        <v>1.5</v>
      </c>
      <c r="J16" s="389">
        <f>+Purchases!N54</f>
        <v>0</v>
      </c>
      <c r="K16" s="392">
        <f>+Purchases!O54</f>
        <v>0</v>
      </c>
      <c r="N16" s="426"/>
    </row>
    <row r="17" spans="2:14" ht="16.5" customHeight="1">
      <c r="B17" s="712"/>
      <c r="C17" s="386" t="str">
        <f>+Purchases!C55</f>
        <v>CONVERGE XT</v>
      </c>
      <c r="D17" s="387">
        <f>+Purchases!E55</f>
        <v>0</v>
      </c>
      <c r="E17" s="388">
        <f>+Purchases!F55</f>
        <v>0</v>
      </c>
      <c r="F17" s="389">
        <f>+Purchases!G55</f>
        <v>4</v>
      </c>
      <c r="G17" s="389">
        <f>+Purchases!I55</f>
        <v>0</v>
      </c>
      <c r="H17" s="390">
        <f>+Purchases!J55</f>
        <v>0</v>
      </c>
      <c r="I17" s="391">
        <f>+Purchases!L55</f>
        <v>2</v>
      </c>
      <c r="J17" s="389">
        <f>+Purchases!N55</f>
        <v>0</v>
      </c>
      <c r="K17" s="392">
        <f>+Purchases!O55</f>
        <v>0</v>
      </c>
      <c r="N17" s="426"/>
    </row>
    <row r="18" spans="2:14" ht="16.5" customHeight="1">
      <c r="B18" s="712"/>
      <c r="C18" s="386" t="str">
        <f>+Purchases!C56</f>
        <v>CORVUS</v>
      </c>
      <c r="D18" s="387">
        <f>+Purchases!E56</f>
        <v>0</v>
      </c>
      <c r="E18" s="388">
        <f>+Purchases!F56</f>
        <v>0</v>
      </c>
      <c r="F18" s="389">
        <f>+Purchases!G56</f>
        <v>3.5</v>
      </c>
      <c r="G18" s="389">
        <f>+Purchases!I56</f>
        <v>0</v>
      </c>
      <c r="H18" s="390">
        <f>+Purchases!J56</f>
        <v>0</v>
      </c>
      <c r="I18" s="391">
        <f>+Purchases!L56</f>
        <v>1.75</v>
      </c>
      <c r="J18" s="389">
        <f>+Purchases!N56</f>
        <v>0</v>
      </c>
      <c r="K18" s="392">
        <f>+Purchases!O56</f>
        <v>0</v>
      </c>
      <c r="N18" s="426"/>
    </row>
    <row r="19" spans="2:14" ht="16.5" customHeight="1">
      <c r="B19" s="712"/>
      <c r="C19" s="386" t="str">
        <f>+Purchases!C57</f>
        <v>LAUDIS</v>
      </c>
      <c r="D19" s="387">
        <f>+Purchases!E57</f>
        <v>0</v>
      </c>
      <c r="E19" s="388">
        <f>+Purchases!F57</f>
        <v>0</v>
      </c>
      <c r="F19" s="389">
        <f>+Purchases!G57</f>
        <v>2.5</v>
      </c>
      <c r="G19" s="389">
        <f>+Purchases!I57</f>
        <v>0</v>
      </c>
      <c r="H19" s="390">
        <f>+Purchases!J57</f>
        <v>0</v>
      </c>
      <c r="I19" s="391">
        <f>+Purchases!L57</f>
        <v>1.25</v>
      </c>
      <c r="J19" s="389">
        <f>+Purchases!N57</f>
        <v>0</v>
      </c>
      <c r="K19" s="392">
        <f>+Purchases!O57</f>
        <v>0</v>
      </c>
      <c r="N19" s="426"/>
    </row>
    <row r="20" spans="2:14" ht="16.5" customHeight="1">
      <c r="B20" s="712"/>
      <c r="C20" s="386" t="str">
        <f>+Purchases!C58</f>
        <v>OPTION LIQUID</v>
      </c>
      <c r="D20" s="387">
        <f>+Purchases!E58</f>
        <v>0</v>
      </c>
      <c r="E20" s="388">
        <f>+Purchases!F58</f>
        <v>0</v>
      </c>
      <c r="F20" s="389">
        <f>+Purchases!G58</f>
        <v>2.5</v>
      </c>
      <c r="G20" s="389">
        <f>+Purchases!I58</f>
        <v>0</v>
      </c>
      <c r="H20" s="390">
        <f>+Purchases!J58</f>
        <v>0</v>
      </c>
      <c r="I20" s="391">
        <f>+Purchases!L58</f>
        <v>1.25</v>
      </c>
      <c r="J20" s="389">
        <f>+Purchases!N58</f>
        <v>0</v>
      </c>
      <c r="K20" s="392">
        <f>+Purchases!O58</f>
        <v>0</v>
      </c>
      <c r="N20" s="426"/>
    </row>
    <row r="21" spans="2:14" ht="16.5" customHeight="1">
      <c r="B21" s="712"/>
      <c r="C21" s="386" t="str">
        <f>+Purchases!C59</f>
        <v>ROUNDUP XTEND/XTEND 2</v>
      </c>
      <c r="D21" s="387">
        <f>+Purchases!E59</f>
        <v>0</v>
      </c>
      <c r="E21" s="388">
        <f>+Purchases!F59</f>
        <v>0</v>
      </c>
      <c r="F21" s="389">
        <f>+Purchases!G59</f>
        <v>2.5</v>
      </c>
      <c r="G21" s="389">
        <f>+Purchases!I59</f>
        <v>0</v>
      </c>
      <c r="H21" s="390">
        <f>+Purchases!J59</f>
        <v>0</v>
      </c>
      <c r="I21" s="391">
        <f>+Purchases!L59</f>
        <v>1.25</v>
      </c>
      <c r="J21" s="389">
        <f>+Purchases!N59</f>
        <v>0</v>
      </c>
      <c r="K21" s="392">
        <f>+Purchases!O59</f>
        <v>0</v>
      </c>
      <c r="N21" s="426"/>
    </row>
    <row r="22" spans="2:14" ht="16.5" customHeight="1">
      <c r="B22" s="712"/>
      <c r="C22" s="386" t="str">
        <f>+Purchases!C60</f>
        <v>SENCOR 480 /SENCOR 75 DF</v>
      </c>
      <c r="D22" s="387">
        <f>+Purchases!E60</f>
        <v>0</v>
      </c>
      <c r="E22" s="388">
        <f>+Purchases!F60</f>
        <v>0</v>
      </c>
      <c r="F22" s="389">
        <f>+Purchases!G60</f>
        <v>0.5</v>
      </c>
      <c r="G22" s="389">
        <f>+Purchases!I60</f>
        <v>0</v>
      </c>
      <c r="H22" s="390">
        <f>+Purchases!J60</f>
        <v>0</v>
      </c>
      <c r="I22" s="391">
        <f>+Purchases!L60</f>
        <v>0.25</v>
      </c>
      <c r="J22" s="389">
        <f>+Purchases!N60</f>
        <v>0</v>
      </c>
      <c r="K22" s="392">
        <f>+Purchases!O60</f>
        <v>0</v>
      </c>
      <c r="N22" s="426"/>
    </row>
    <row r="23" spans="2:14" ht="16.5" hidden="1" customHeight="1">
      <c r="B23" s="712"/>
      <c r="C23" s="386" t="e">
        <f>+Purchases!#REF!</f>
        <v>#REF!</v>
      </c>
      <c r="D23" s="387" t="e">
        <f>+Purchases!#REF!</f>
        <v>#REF!</v>
      </c>
      <c r="E23" s="388" t="e">
        <f>+Purchases!#REF!</f>
        <v>#REF!</v>
      </c>
      <c r="F23" s="389" t="e">
        <f>+Purchases!#REF!</f>
        <v>#REF!</v>
      </c>
      <c r="G23" s="389" t="e">
        <f>+Purchases!#REF!</f>
        <v>#REF!</v>
      </c>
      <c r="H23" s="390" t="e">
        <f>+Purchases!#REF!</f>
        <v>#REF!</v>
      </c>
      <c r="I23" s="391" t="e">
        <f>+Purchases!#REF!</f>
        <v>#REF!</v>
      </c>
      <c r="J23" s="389" t="e">
        <f>+Purchases!#REF!</f>
        <v>#REF!</v>
      </c>
      <c r="K23" s="392" t="e">
        <f>+Purchases!#REF!</f>
        <v>#REF!</v>
      </c>
      <c r="N23" s="426"/>
    </row>
    <row r="24" spans="2:14" ht="16.5" customHeight="1">
      <c r="B24" s="712"/>
      <c r="C24" s="386" t="str">
        <f>+Purchases!C61</f>
        <v>VIOS G3</v>
      </c>
      <c r="D24" s="387">
        <f>+Purchases!E61</f>
        <v>0</v>
      </c>
      <c r="E24" s="388">
        <f>+Purchases!F61</f>
        <v>0</v>
      </c>
      <c r="F24" s="389">
        <f>+Purchases!G61</f>
        <v>2.5</v>
      </c>
      <c r="G24" s="389">
        <f>+Purchases!I61</f>
        <v>0</v>
      </c>
      <c r="H24" s="390">
        <f>+Purchases!J61</f>
        <v>0</v>
      </c>
      <c r="I24" s="391">
        <f>+Purchases!L61</f>
        <v>1.25</v>
      </c>
      <c r="J24" s="389">
        <f>+Purchases!N61</f>
        <v>0</v>
      </c>
      <c r="K24" s="392">
        <f>+Purchases!O61</f>
        <v>0</v>
      </c>
      <c r="N24" s="426"/>
    </row>
    <row r="25" spans="2:14" ht="16.5" customHeight="1">
      <c r="B25" s="712"/>
      <c r="C25" s="386" t="str">
        <f>+Purchases!C62</f>
        <v>XTENDIMAX/XTENDIMAX 2</v>
      </c>
      <c r="D25" s="387">
        <f>+Purchases!E62</f>
        <v>0</v>
      </c>
      <c r="E25" s="388">
        <f>+Purchases!F62</f>
        <v>0</v>
      </c>
      <c r="F25" s="389">
        <f>+Purchases!G62</f>
        <v>2</v>
      </c>
      <c r="G25" s="389">
        <f>+Purchases!I62</f>
        <v>0</v>
      </c>
      <c r="H25" s="390">
        <f>+Purchases!J62</f>
        <v>0</v>
      </c>
      <c r="I25" s="391">
        <f>+Purchases!L62</f>
        <v>1</v>
      </c>
      <c r="J25" s="389">
        <f>+Purchases!N62</f>
        <v>0</v>
      </c>
      <c r="K25" s="392">
        <f>+Purchases!O62</f>
        <v>0</v>
      </c>
      <c r="N25" s="426"/>
    </row>
    <row r="26" spans="2:14" ht="16.5" customHeight="1">
      <c r="B26" s="427"/>
      <c r="C26" s="528"/>
      <c r="D26" s="192"/>
      <c r="E26" s="193"/>
      <c r="F26" s="183"/>
      <c r="G26" s="183"/>
      <c r="H26" s="194"/>
      <c r="I26" s="182"/>
      <c r="J26" s="183"/>
      <c r="K26" s="185"/>
      <c r="N26" s="426"/>
    </row>
    <row r="27" spans="2:14" ht="16.5" customHeight="1">
      <c r="B27" s="713" t="str">
        <f>+Purchases!B65</f>
        <v>Fungicides</v>
      </c>
      <c r="C27" s="386" t="str">
        <f>+Purchases!C65</f>
        <v>DELARO COMPLETE</v>
      </c>
      <c r="D27" s="387">
        <f>+Purchases!E65</f>
        <v>0</v>
      </c>
      <c r="E27" s="388">
        <f>+Purchases!F65</f>
        <v>0</v>
      </c>
      <c r="F27" s="389">
        <f>+Purchases!G65</f>
        <v>2.25</v>
      </c>
      <c r="G27" s="389">
        <f>+Purchases!I65</f>
        <v>0</v>
      </c>
      <c r="H27" s="390">
        <f>+Purchases!J65</f>
        <v>0</v>
      </c>
      <c r="I27" s="391">
        <f>+Purchases!L65</f>
        <v>1.5</v>
      </c>
      <c r="J27" s="389">
        <f>+Purchases!N65</f>
        <v>0</v>
      </c>
      <c r="K27" s="392">
        <f>+Purchases!O65</f>
        <v>0</v>
      </c>
      <c r="N27" s="426"/>
    </row>
    <row r="28" spans="2:14" ht="16.5" customHeight="1">
      <c r="B28" s="714"/>
      <c r="C28" s="386" t="str">
        <f>+Purchases!C66</f>
        <v>PROLINE</v>
      </c>
      <c r="D28" s="387">
        <f>+Purchases!E66</f>
        <v>0</v>
      </c>
      <c r="E28" s="388">
        <f>+Purchases!F66</f>
        <v>0</v>
      </c>
      <c r="F28" s="389">
        <f>+Purchases!G66</f>
        <v>4</v>
      </c>
      <c r="G28" s="389">
        <f>+Purchases!I66</f>
        <v>0</v>
      </c>
      <c r="H28" s="390">
        <f>+Purchases!J66</f>
        <v>0</v>
      </c>
      <c r="I28" s="391">
        <f>+Purchases!L66</f>
        <v>2</v>
      </c>
      <c r="J28" s="389">
        <f>+Purchases!N66</f>
        <v>0</v>
      </c>
      <c r="K28" s="392">
        <f>+Purchases!O66</f>
        <v>0</v>
      </c>
      <c r="N28" s="426"/>
    </row>
    <row r="29" spans="2:14" ht="16.5" customHeight="1">
      <c r="B29" s="714"/>
      <c r="C29" s="386" t="str">
        <f>+Purchases!C67</f>
        <v>PROPULSE</v>
      </c>
      <c r="D29" s="387">
        <f>+Purchases!E67</f>
        <v>0</v>
      </c>
      <c r="E29" s="388">
        <f>+Purchases!F67</f>
        <v>0</v>
      </c>
      <c r="F29" s="389">
        <f>+Purchases!G67</f>
        <v>3</v>
      </c>
      <c r="G29" s="389">
        <f>+Purchases!I67</f>
        <v>0</v>
      </c>
      <c r="H29" s="390">
        <f>+Purchases!J67</f>
        <v>0</v>
      </c>
      <c r="I29" s="391">
        <f>+Purchases!L67</f>
        <v>1.5</v>
      </c>
      <c r="J29" s="389">
        <f>+Purchases!N67</f>
        <v>0</v>
      </c>
      <c r="K29" s="392">
        <f>+Purchases!O67</f>
        <v>0</v>
      </c>
      <c r="N29" s="426"/>
    </row>
    <row r="30" spans="2:14" ht="16.5" customHeight="1">
      <c r="B30" s="714"/>
      <c r="C30" s="386" t="str">
        <f>+Purchases!C68</f>
        <v>PROSARO PRO</v>
      </c>
      <c r="D30" s="387">
        <f>+Purchases!E68</f>
        <v>0</v>
      </c>
      <c r="E30" s="388">
        <f>+Purchases!F68</f>
        <v>0</v>
      </c>
      <c r="F30" s="389">
        <f>+Purchases!G68</f>
        <v>3.5</v>
      </c>
      <c r="G30" s="389">
        <f>+Purchases!I68</f>
        <v>0</v>
      </c>
      <c r="H30" s="390">
        <f>+Purchases!J68</f>
        <v>0</v>
      </c>
      <c r="I30" s="391">
        <f>+Purchases!L68</f>
        <v>2</v>
      </c>
      <c r="J30" s="389">
        <f>+Purchases!N68</f>
        <v>0</v>
      </c>
      <c r="K30" s="392">
        <f>+Purchases!O68</f>
        <v>0</v>
      </c>
      <c r="N30" s="426"/>
    </row>
    <row r="31" spans="2:14" ht="16.5" customHeight="1">
      <c r="B31" s="714"/>
      <c r="C31" s="386" t="str">
        <f>+Purchases!C69</f>
        <v>PROSARO XTR</v>
      </c>
      <c r="D31" s="387">
        <f>+Purchases!E69</f>
        <v>0</v>
      </c>
      <c r="E31" s="388">
        <f>+Purchases!F69</f>
        <v>0</v>
      </c>
      <c r="F31" s="389">
        <f>+Purchases!G69</f>
        <v>3</v>
      </c>
      <c r="G31" s="389">
        <f>+Purchases!I69</f>
        <v>0</v>
      </c>
      <c r="H31" s="390">
        <f>+Purchases!J69</f>
        <v>0</v>
      </c>
      <c r="I31" s="391">
        <f>+Purchases!L69</f>
        <v>1.75</v>
      </c>
      <c r="J31" s="389">
        <f>+Purchases!N69</f>
        <v>0</v>
      </c>
      <c r="K31" s="392">
        <f>+Purchases!O69</f>
        <v>0</v>
      </c>
      <c r="N31" s="426"/>
    </row>
    <row r="32" spans="2:14" ht="16.5" customHeight="1">
      <c r="B32" s="715"/>
      <c r="C32" s="386" t="str">
        <f>+Purchases!C70</f>
        <v>STRATEGO PRO</v>
      </c>
      <c r="D32" s="387">
        <f>+Purchases!E70</f>
        <v>0</v>
      </c>
      <c r="E32" s="388">
        <f>+Purchases!F70</f>
        <v>0</v>
      </c>
      <c r="F32" s="389">
        <f>+Purchases!G70</f>
        <v>2</v>
      </c>
      <c r="G32" s="389">
        <f>+Purchases!I70</f>
        <v>0</v>
      </c>
      <c r="H32" s="390">
        <f>+Purchases!J70</f>
        <v>0</v>
      </c>
      <c r="I32" s="391">
        <f>+Purchases!L70</f>
        <v>1.25</v>
      </c>
      <c r="J32" s="389">
        <f>+Purchases!N70</f>
        <v>0</v>
      </c>
      <c r="K32" s="392">
        <f>+Purchases!O70</f>
        <v>0</v>
      </c>
      <c r="N32" s="426"/>
    </row>
    <row r="33" spans="2:14" ht="16.5" customHeight="1">
      <c r="B33" s="428"/>
      <c r="C33" s="528"/>
      <c r="D33" s="529"/>
      <c r="E33" s="707" t="str">
        <f>+Purchases!F71</f>
        <v>Trait Matched Acres Rebate Total</v>
      </c>
      <c r="F33" s="708"/>
      <c r="G33" s="262">
        <f>+Purchases!I71</f>
        <v>0</v>
      </c>
      <c r="H33" s="709" t="str">
        <f>+Purchases!J71</f>
        <v>Unmatched Acres Rebate Total</v>
      </c>
      <c r="I33" s="708"/>
      <c r="J33" s="262">
        <f>+Purchases!N71</f>
        <v>0</v>
      </c>
      <c r="K33" s="262">
        <f>+Purchases!O71</f>
        <v>0</v>
      </c>
      <c r="N33" s="426"/>
    </row>
    <row r="34" spans="2:14" ht="19.5" customHeight="1">
      <c r="B34" s="428"/>
      <c r="C34" s="528"/>
      <c r="D34" s="529"/>
      <c r="E34" s="708"/>
      <c r="F34" s="708"/>
      <c r="G34" s="183"/>
      <c r="H34" s="708"/>
      <c r="I34" s="708"/>
      <c r="K34" s="383"/>
      <c r="N34" s="426"/>
    </row>
    <row r="35" spans="2:14" ht="16.5" customHeight="1">
      <c r="B35" s="429" t="str">
        <f>+Purchases!B44</f>
        <v>*To qualify, more than 100 acres of Seed Traits and a minimum of $1000 for each brand is required</v>
      </c>
      <c r="C35" s="528"/>
      <c r="D35" s="529"/>
      <c r="E35" s="530"/>
      <c r="F35" s="183"/>
      <c r="G35" s="183"/>
      <c r="H35" s="184"/>
      <c r="I35" s="182"/>
      <c r="J35" s="183"/>
      <c r="K35" s="183"/>
      <c r="N35" s="426"/>
    </row>
    <row r="36" spans="2:14" ht="16.5" customHeight="1">
      <c r="B36" s="429" t="str">
        <f>+Purchases!J44</f>
        <v>** To qualify, more than $5000 in total crop protection and two brands of $1000 or more in purchases, is required</v>
      </c>
      <c r="C36" s="528"/>
      <c r="D36" s="529"/>
      <c r="E36" s="530"/>
      <c r="F36" s="183"/>
      <c r="G36" s="183"/>
      <c r="H36" s="184"/>
      <c r="I36" s="182"/>
      <c r="J36" s="183"/>
      <c r="K36" s="183"/>
      <c r="N36" s="426"/>
    </row>
    <row r="37" spans="2:14" ht="16.5" customHeight="1">
      <c r="B37" s="429"/>
      <c r="C37" s="528"/>
      <c r="D37" s="529"/>
      <c r="E37" s="530"/>
      <c r="F37" s="183"/>
      <c r="G37" s="183"/>
      <c r="H37" s="184"/>
      <c r="I37" s="182"/>
      <c r="J37" s="183"/>
      <c r="K37" s="183"/>
      <c r="N37" s="426"/>
    </row>
    <row r="38" spans="2:14" ht="16.5" customHeight="1">
      <c r="B38" s="430" t="s">
        <v>56</v>
      </c>
      <c r="C38" s="397"/>
      <c r="D38" s="399">
        <f>+Pkge!L135</f>
        <v>0</v>
      </c>
      <c r="E38" s="530"/>
      <c r="F38" s="400" t="str">
        <f>+Purchases!F35</f>
        <v>Total SRP Value of Crop Protection Purchases</v>
      </c>
      <c r="G38" s="401"/>
      <c r="H38" s="401"/>
      <c r="I38" s="401"/>
      <c r="J38" s="402"/>
      <c r="K38" s="406">
        <f>+Purchases!H35</f>
        <v>0</v>
      </c>
      <c r="N38" s="426"/>
    </row>
    <row r="39" spans="2:14" ht="16.5" customHeight="1">
      <c r="B39" s="430" t="s">
        <v>57</v>
      </c>
      <c r="C39" s="398"/>
      <c r="D39" s="399">
        <f>+Pkge!L136</f>
        <v>0</v>
      </c>
      <c r="F39" s="400" t="str">
        <f>+Purchases!E77</f>
        <v>Total Matched Acres Rebate per Corn Bag Equivalent</v>
      </c>
      <c r="G39" s="401"/>
      <c r="H39" s="401"/>
      <c r="I39" s="401"/>
      <c r="J39" s="402"/>
      <c r="K39" s="406">
        <f>+Purchases!K77</f>
        <v>0</v>
      </c>
      <c r="N39" s="426"/>
    </row>
    <row r="40" spans="2:14" ht="16.5" customHeight="1">
      <c r="B40" s="430" t="str">
        <f>+Purchases!B74</f>
        <v>Total Trait Acres</v>
      </c>
      <c r="C40" s="397"/>
      <c r="D40" s="399">
        <f>+Purchases!D74</f>
        <v>0</v>
      </c>
      <c r="E40" s="531"/>
      <c r="F40" s="400" t="str">
        <f>+Purchases!E78</f>
        <v>Total Matched Acres Rebate per Soybean Bag Equivalent</v>
      </c>
      <c r="G40" s="404"/>
      <c r="H40" s="405"/>
      <c r="I40" s="401"/>
      <c r="J40" s="402"/>
      <c r="K40" s="406">
        <f>+Purchases!K78</f>
        <v>0</v>
      </c>
      <c r="N40" s="426"/>
    </row>
    <row r="41" spans="2:14" ht="16.5" customHeight="1">
      <c r="B41" s="428"/>
      <c r="C41"/>
      <c r="D41"/>
      <c r="F41" s="400" t="str">
        <f>+Purchases!E76</f>
        <v>Total Matched Acres Rebate per Trait Acre Equivalent</v>
      </c>
      <c r="G41" s="401"/>
      <c r="H41" s="403"/>
      <c r="I41" s="401"/>
      <c r="J41" s="402"/>
      <c r="K41" s="406">
        <f>+Purchases!K76</f>
        <v>0</v>
      </c>
      <c r="M41" s="146"/>
      <c r="N41" s="426"/>
    </row>
    <row r="42" spans="2:14" ht="16.5" customHeight="1">
      <c r="B42" s="431"/>
      <c r="C42" s="432"/>
      <c r="D42" s="432"/>
      <c r="E42" s="433"/>
      <c r="F42" s="433"/>
      <c r="G42" s="433"/>
      <c r="H42" s="433"/>
      <c r="I42" s="433"/>
      <c r="J42" s="433"/>
      <c r="K42" s="433"/>
      <c r="L42" s="433"/>
      <c r="M42" s="433"/>
      <c r="N42" s="434"/>
    </row>
    <row r="43" spans="2:14" ht="16.5" customHeight="1">
      <c r="H43" s="146"/>
      <c r="K43" s="146"/>
      <c r="N43" s="508"/>
    </row>
    <row r="44" spans="2:14" ht="20.100000000000001" customHeight="1">
      <c r="N44" s="509"/>
    </row>
    <row r="45" spans="2:14" ht="15" customHeight="1">
      <c r="B45" s="692" t="str">
        <f>+Purchases!B80</f>
        <v>Roundup® Key Product Focus</v>
      </c>
      <c r="C45" s="693"/>
      <c r="D45" s="700" t="str">
        <f>+Purchases!C80</f>
        <v>Brand Acres</v>
      </c>
      <c r="E45" s="697" t="str">
        <f>+Purchases!E80</f>
        <v>Brand Acres where Purchases are $1000 or greater</v>
      </c>
      <c r="F45" s="693"/>
      <c r="G45" s="697" t="str">
        <f>+Purchases!F80</f>
        <v>Brand Acres of Roundup Transorb and Roundup WeatherMax</v>
      </c>
      <c r="H45" s="693"/>
      <c r="I45" s="703" t="str">
        <f>+Purchases!G80</f>
        <v>Number of acres matching Roundup Transorb and/or Roundup WeatherMax acres</v>
      </c>
      <c r="J45" s="704"/>
      <c r="K45" s="697" t="str">
        <f>+Purchases!I80</f>
        <v>$/Acre on Matched Acres</v>
      </c>
      <c r="L45" s="693"/>
      <c r="M45" s="697" t="str">
        <f>+Purchases!K80</f>
        <v>Rebate</v>
      </c>
      <c r="N45" s="719"/>
    </row>
    <row r="46" spans="2:14" ht="15" customHeight="1">
      <c r="B46" s="694"/>
      <c r="C46" s="693"/>
      <c r="D46" s="701"/>
      <c r="E46" s="698"/>
      <c r="F46" s="693"/>
      <c r="G46" s="698"/>
      <c r="H46" s="693"/>
      <c r="I46" s="703"/>
      <c r="J46" s="704"/>
      <c r="K46" s="698"/>
      <c r="L46" s="693"/>
      <c r="M46" s="698"/>
      <c r="N46" s="719"/>
    </row>
    <row r="47" spans="2:14" ht="15" customHeight="1">
      <c r="B47" s="694"/>
      <c r="C47" s="693"/>
      <c r="D47" s="701"/>
      <c r="E47" s="698"/>
      <c r="F47" s="693"/>
      <c r="G47" s="698"/>
      <c r="H47" s="693"/>
      <c r="I47" s="703"/>
      <c r="J47" s="704"/>
      <c r="K47" s="698"/>
      <c r="L47" s="693"/>
      <c r="M47" s="698"/>
      <c r="N47" s="719"/>
    </row>
    <row r="48" spans="2:14" ht="15" customHeight="1">
      <c r="B48" s="694"/>
      <c r="C48" s="693"/>
      <c r="D48" s="701"/>
      <c r="E48" s="698"/>
      <c r="F48" s="693"/>
      <c r="G48" s="698"/>
      <c r="H48" s="693"/>
      <c r="I48" s="703"/>
      <c r="J48" s="704"/>
      <c r="K48" s="698"/>
      <c r="L48" s="693"/>
      <c r="M48" s="698"/>
      <c r="N48" s="719"/>
    </row>
    <row r="49" spans="2:15" ht="15" customHeight="1">
      <c r="B49" s="694"/>
      <c r="C49" s="693"/>
      <c r="D49" s="701"/>
      <c r="E49" s="698"/>
      <c r="F49" s="693"/>
      <c r="G49" s="698"/>
      <c r="H49" s="693"/>
      <c r="I49" s="703"/>
      <c r="J49" s="704"/>
      <c r="K49" s="698"/>
      <c r="L49" s="693"/>
      <c r="M49" s="698"/>
      <c r="N49" s="719"/>
    </row>
    <row r="50" spans="2:15" ht="21.75" customHeight="1">
      <c r="B50" s="695"/>
      <c r="C50" s="696"/>
      <c r="D50" s="702"/>
      <c r="E50" s="699"/>
      <c r="F50" s="696"/>
      <c r="G50" s="699"/>
      <c r="H50" s="696"/>
      <c r="I50" s="705"/>
      <c r="J50" s="706"/>
      <c r="K50" s="699"/>
      <c r="L50" s="696"/>
      <c r="M50" s="699"/>
      <c r="N50" s="720"/>
    </row>
    <row r="51" spans="2:15">
      <c r="B51" s="535" t="str" cm="1">
        <f t="array" ref="B51:B54">+Purchases!B82:B85</f>
        <v>CORVUS</v>
      </c>
      <c r="C51" s="532"/>
      <c r="D51" s="533">
        <f>+Purchases!C82</f>
        <v>0</v>
      </c>
      <c r="E51" s="723">
        <f>+Purchases!E82</f>
        <v>0</v>
      </c>
      <c r="F51" s="724"/>
      <c r="G51" s="727">
        <f>+Purchases!F82</f>
        <v>0</v>
      </c>
      <c r="H51" s="728"/>
      <c r="I51" s="723">
        <f>+Purchases!G82</f>
        <v>0</v>
      </c>
      <c r="J51" s="724"/>
      <c r="K51" s="534">
        <f>+Purchases!I82</f>
        <v>0.25</v>
      </c>
      <c r="L51" s="385"/>
      <c r="M51" s="721">
        <f>+Purchases!K82</f>
        <v>0</v>
      </c>
      <c r="N51" s="755"/>
    </row>
    <row r="52" spans="2:15">
      <c r="B52" s="536" t="str">
        <v>LAUDIS</v>
      </c>
      <c r="C52" s="407"/>
      <c r="D52" s="408">
        <f>+Purchases!C83</f>
        <v>0</v>
      </c>
      <c r="E52" s="725">
        <f>+Purchases!E83</f>
        <v>0</v>
      </c>
      <c r="F52" s="726"/>
      <c r="G52" s="729"/>
      <c r="H52" s="729"/>
      <c r="I52" s="725">
        <f>+Purchases!G83</f>
        <v>0</v>
      </c>
      <c r="J52" s="726"/>
      <c r="K52" s="409">
        <f>+Purchases!I83</f>
        <v>0.25</v>
      </c>
      <c r="L52" s="385"/>
      <c r="M52" s="722">
        <f>+Purchases!K83</f>
        <v>0</v>
      </c>
      <c r="N52" s="756"/>
    </row>
    <row r="53" spans="2:15" hidden="1">
      <c r="B53" s="536" t="str">
        <v>ROUNDUP XTEND/XTEND 2</v>
      </c>
      <c r="C53" s="407"/>
      <c r="D53" s="408">
        <f>+Purchases!C84</f>
        <v>0</v>
      </c>
      <c r="E53" s="725">
        <f>+Purchases!E84</f>
        <v>0</v>
      </c>
      <c r="F53" s="726"/>
      <c r="G53" s="729"/>
      <c r="H53" s="729"/>
      <c r="I53" s="725">
        <f>+Purchases!G84</f>
        <v>0</v>
      </c>
      <c r="J53" s="726"/>
      <c r="K53" s="409">
        <f>+Purchases!I84</f>
        <v>0</v>
      </c>
      <c r="L53" s="385"/>
      <c r="M53" s="722">
        <f>+Purchases!K84</f>
        <v>0</v>
      </c>
      <c r="N53" s="756"/>
    </row>
    <row r="54" spans="2:15">
      <c r="B54" s="536" t="str">
        <v>XTENDIMAX/XTENDIMAX 2</v>
      </c>
      <c r="C54" s="407"/>
      <c r="D54" s="408">
        <f>+Purchases!C85</f>
        <v>0</v>
      </c>
      <c r="E54" s="725">
        <f>+Purchases!E85</f>
        <v>0</v>
      </c>
      <c r="F54" s="726"/>
      <c r="G54" s="729"/>
      <c r="H54" s="729"/>
      <c r="I54" s="725">
        <f>+Purchases!G85</f>
        <v>0</v>
      </c>
      <c r="J54" s="726"/>
      <c r="K54" s="409">
        <f>+Purchases!I85</f>
        <v>0.25</v>
      </c>
      <c r="L54" s="385"/>
      <c r="M54" s="722">
        <f>+Purchases!K85</f>
        <v>0</v>
      </c>
      <c r="N54" s="756"/>
    </row>
    <row r="55" spans="2:15" ht="15.75">
      <c r="B55" s="427"/>
      <c r="C55" s="537"/>
      <c r="D55" s="537"/>
      <c r="E55" s="16"/>
      <c r="F55" s="16"/>
      <c r="G55" s="16"/>
      <c r="H55" s="16"/>
      <c r="I55" s="687" t="str">
        <f>+Purchases!H86</f>
        <v>Roundup® Key Product Focus Rebate</v>
      </c>
      <c r="J55" s="743"/>
      <c r="K55" s="743"/>
      <c r="L55" s="518"/>
      <c r="M55" s="684">
        <f>+Purchases!K86</f>
        <v>0</v>
      </c>
      <c r="N55" s="757"/>
    </row>
    <row r="56" spans="2:15">
      <c r="B56" s="427"/>
      <c r="C56" s="537"/>
      <c r="D56" s="537"/>
      <c r="E56" s="16"/>
      <c r="F56" s="16"/>
      <c r="G56" s="16"/>
      <c r="H56" s="16"/>
      <c r="I56" s="16"/>
      <c r="J56" s="16"/>
      <c r="K56" s="16"/>
      <c r="L56" s="16"/>
      <c r="M56" s="16"/>
      <c r="N56" s="538"/>
    </row>
    <row r="57" spans="2:15" ht="21">
      <c r="B57" s="427"/>
      <c r="C57" s="537"/>
      <c r="D57" s="537"/>
      <c r="E57" s="16"/>
      <c r="F57" s="16"/>
      <c r="G57" s="682" t="str">
        <f>+Purchases!G89</f>
        <v>Trait Matched Acres and Unmatched Acres Rebate</v>
      </c>
      <c r="H57" s="743"/>
      <c r="I57" s="743"/>
      <c r="J57" s="743"/>
      <c r="K57" s="743"/>
      <c r="L57" s="16"/>
      <c r="M57" s="685">
        <f>+Purchases!M89</f>
        <v>0</v>
      </c>
      <c r="N57" s="686"/>
    </row>
    <row r="58" spans="2:15" ht="21">
      <c r="B58" s="427"/>
      <c r="C58" s="537"/>
      <c r="D58" s="537"/>
      <c r="E58" s="16"/>
      <c r="F58" s="16"/>
      <c r="G58" s="682" t="str">
        <f>+I55</f>
        <v>Roundup® Key Product Focus Rebate</v>
      </c>
      <c r="H58" s="743"/>
      <c r="I58" s="743"/>
      <c r="J58" s="743"/>
      <c r="K58" s="743"/>
      <c r="L58" s="16"/>
      <c r="M58" s="685">
        <f>+M55</f>
        <v>0</v>
      </c>
      <c r="N58" s="686"/>
    </row>
    <row r="59" spans="2:15" ht="21">
      <c r="B59" s="539"/>
      <c r="C59" s="537"/>
      <c r="D59" s="537"/>
      <c r="E59" s="16"/>
      <c r="F59" s="16"/>
      <c r="G59" s="682" t="str">
        <f>+Purchases!G91</f>
        <v>FieldView™ Rewards Rebate</v>
      </c>
      <c r="H59" s="743"/>
      <c r="I59" s="743"/>
      <c r="J59" s="743"/>
      <c r="K59" s="743"/>
      <c r="L59" s="16"/>
      <c r="M59" s="685">
        <f>+Purchases!M91</f>
        <v>0</v>
      </c>
      <c r="N59" s="686"/>
      <c r="O59" s="382"/>
    </row>
    <row r="60" spans="2:15" ht="31.5">
      <c r="B60" s="427"/>
      <c r="C60" s="537"/>
      <c r="D60" s="537"/>
      <c r="E60" s="16"/>
      <c r="F60" s="16"/>
      <c r="G60" s="683" t="str">
        <f>+Purchases!G92</f>
        <v>Total BayerValue™ Rebate</v>
      </c>
      <c r="H60" s="743"/>
      <c r="I60" s="743"/>
      <c r="J60" s="743"/>
      <c r="K60" s="743"/>
      <c r="L60" s="16"/>
      <c r="M60" s="685">
        <f>+Purchases!M92</f>
        <v>0</v>
      </c>
      <c r="N60" s="686"/>
      <c r="O60" s="365"/>
    </row>
    <row r="61" spans="2:15" ht="15" customHeight="1">
      <c r="B61" s="431"/>
      <c r="C61" s="432"/>
      <c r="D61" s="432"/>
      <c r="E61" s="433"/>
      <c r="F61" s="433"/>
      <c r="G61" s="433"/>
      <c r="H61" s="433"/>
      <c r="I61" s="433"/>
      <c r="J61" s="433"/>
      <c r="K61" s="433"/>
      <c r="L61" s="433"/>
      <c r="M61" s="433"/>
      <c r="N61" s="543"/>
    </row>
    <row r="62" spans="2:15" ht="15" customHeight="1">
      <c r="B62" s="540"/>
      <c r="C62" s="541"/>
      <c r="D62" s="541"/>
      <c r="E62" s="541"/>
      <c r="F62" s="541"/>
      <c r="G62" s="541"/>
      <c r="H62" s="541"/>
      <c r="I62" s="541"/>
      <c r="J62" s="541"/>
      <c r="K62" s="541"/>
      <c r="L62" s="541"/>
      <c r="M62" s="541"/>
      <c r="N62" s="542"/>
    </row>
    <row r="63" spans="2:15" ht="15" customHeight="1">
      <c r="B63" s="540"/>
      <c r="C63" s="541"/>
      <c r="D63" s="541"/>
      <c r="E63" s="541"/>
      <c r="F63" s="541"/>
      <c r="G63" s="541"/>
      <c r="H63" s="541"/>
      <c r="I63" s="541"/>
      <c r="J63" s="541"/>
      <c r="K63" s="541"/>
      <c r="L63" s="541"/>
      <c r="M63" s="541"/>
      <c r="N63" s="542"/>
    </row>
    <row r="64" spans="2:15" ht="15" customHeight="1">
      <c r="B64" s="540"/>
      <c r="C64" s="541"/>
      <c r="D64" s="541"/>
      <c r="E64" s="541"/>
      <c r="F64" s="541"/>
      <c r="G64" s="541"/>
      <c r="H64" s="541"/>
      <c r="I64" s="541"/>
      <c r="J64" s="541"/>
      <c r="K64" s="541"/>
      <c r="L64" s="541"/>
      <c r="M64" s="541"/>
      <c r="N64" s="542"/>
    </row>
    <row r="65" spans="2:14" ht="15" customHeight="1">
      <c r="B65" s="431"/>
      <c r="C65" s="432"/>
      <c r="D65" s="432"/>
      <c r="E65" s="433"/>
      <c r="F65" s="433"/>
      <c r="G65" s="433"/>
      <c r="H65" s="433"/>
      <c r="I65" s="433"/>
      <c r="J65" s="433"/>
      <c r="K65" s="433"/>
      <c r="L65" s="433"/>
      <c r="M65" s="433"/>
      <c r="N65" s="543"/>
    </row>
    <row r="66" spans="2:14" ht="15" customHeight="1"/>
    <row r="67" spans="2:14" ht="15" customHeight="1"/>
    <row r="68" spans="2:14" ht="15" customHeight="1"/>
    <row r="69" spans="2:14" ht="15" customHeight="1"/>
  </sheetData>
  <sheetProtection algorithmName="SHA-512" hashValue="85wkcXZx+SIi92+ERNSJHv7Ey5V+cwcoWA8eiACwfWYp9bNulxjY8VHczcAlIGdPUoZsr6zI2kPhMtLNuZOAFA==" saltValue="bQmzE9iVFrYcmGwrmyOhrQ==" spinCount="100000" sheet="1" objects="1" scenarios="1"/>
  <mergeCells count="39">
    <mergeCell ref="I51:J51"/>
    <mergeCell ref="E51:F51"/>
    <mergeCell ref="E52:F52"/>
    <mergeCell ref="E53:F53"/>
    <mergeCell ref="E54:F54"/>
    <mergeCell ref="G51:H54"/>
    <mergeCell ref="I52:J52"/>
    <mergeCell ref="I53:J53"/>
    <mergeCell ref="I54:J54"/>
    <mergeCell ref="M45:N50"/>
    <mergeCell ref="M51:N51"/>
    <mergeCell ref="M52:N52"/>
    <mergeCell ref="M53:N53"/>
    <mergeCell ref="M54:N54"/>
    <mergeCell ref="D2:H2"/>
    <mergeCell ref="G7:H7"/>
    <mergeCell ref="C5:F5"/>
    <mergeCell ref="B45:C50"/>
    <mergeCell ref="K45:L50"/>
    <mergeCell ref="D45:D50"/>
    <mergeCell ref="E45:F50"/>
    <mergeCell ref="G45:H50"/>
    <mergeCell ref="I45:J50"/>
    <mergeCell ref="E33:F34"/>
    <mergeCell ref="H33:I34"/>
    <mergeCell ref="J5:K5"/>
    <mergeCell ref="B16:B25"/>
    <mergeCell ref="B27:B32"/>
    <mergeCell ref="B10:B14"/>
    <mergeCell ref="G57:K57"/>
    <mergeCell ref="G58:K58"/>
    <mergeCell ref="G59:K59"/>
    <mergeCell ref="G60:K60"/>
    <mergeCell ref="M55:N55"/>
    <mergeCell ref="M57:N57"/>
    <mergeCell ref="M58:N58"/>
    <mergeCell ref="M59:N59"/>
    <mergeCell ref="M60:N60"/>
    <mergeCell ref="I55:K55"/>
  </mergeCells>
  <printOptions horizontalCentered="1"/>
  <pageMargins left="0.51181102362204722" right="0.35433070866141736" top="0.74803149606299213" bottom="0.19685039370078741" header="0.11811023622047245" footer="0.11811023622047245"/>
  <pageSetup scale="65" orientation="landscape" horizontalDpi="4294967293" r:id="rId1"/>
  <headerFooter>
    <oddFooter>Page &amp;P of &amp;N</oddFooter>
  </headerFooter>
  <rowBreaks count="1" manualBreakCount="1">
    <brk id="4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3E3CA-E402-4AB1-B625-508F9F131091}">
  <sheetPr codeName="Sheet3">
    <tabColor rgb="FF00B0F0"/>
  </sheetPr>
  <dimension ref="A1:U48"/>
  <sheetViews>
    <sheetView showGridLines="0" showRowColHeaders="0" workbookViewId="0">
      <selection activeCell="P1" sqref="P1"/>
    </sheetView>
  </sheetViews>
  <sheetFormatPr defaultRowHeight="15"/>
  <sheetData>
    <row r="1" spans="1:21">
      <c r="A1" s="544"/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</row>
    <row r="2" spans="1:21">
      <c r="A2" s="544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</row>
    <row r="3" spans="1:21">
      <c r="A3" s="544"/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</row>
    <row r="4" spans="1:21">
      <c r="A4" s="544"/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</row>
    <row r="5" spans="1:21">
      <c r="A5" s="544"/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  <c r="Q5" s="544"/>
      <c r="R5" s="544"/>
      <c r="S5" s="544"/>
      <c r="T5" s="544"/>
      <c r="U5" s="544"/>
    </row>
    <row r="6" spans="1:21">
      <c r="A6" s="544"/>
      <c r="B6" s="544"/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4"/>
      <c r="P6" s="544"/>
      <c r="Q6" s="544"/>
      <c r="R6" s="544"/>
      <c r="S6" s="544"/>
      <c r="T6" s="544"/>
      <c r="U6" s="544"/>
    </row>
    <row r="7" spans="1:21">
      <c r="A7" s="544"/>
      <c r="B7" s="544"/>
      <c r="C7" s="544"/>
      <c r="D7" s="544"/>
      <c r="E7" s="544"/>
      <c r="F7" s="544"/>
      <c r="G7" s="544"/>
      <c r="H7" s="544"/>
      <c r="I7" s="544"/>
      <c r="J7" s="544"/>
      <c r="K7" s="544"/>
      <c r="L7" s="544"/>
      <c r="M7" s="544"/>
      <c r="N7" s="544"/>
      <c r="O7" s="544"/>
      <c r="P7" s="544"/>
      <c r="Q7" s="544"/>
      <c r="R7" s="544"/>
      <c r="S7" s="544"/>
      <c r="T7" s="544"/>
      <c r="U7" s="544"/>
    </row>
    <row r="8" spans="1:21">
      <c r="A8" s="544"/>
      <c r="B8" s="544"/>
      <c r="C8" s="544"/>
      <c r="D8" s="544"/>
      <c r="E8" s="544"/>
      <c r="F8" s="544"/>
      <c r="G8" s="544"/>
      <c r="H8" s="544"/>
      <c r="I8" s="544"/>
      <c r="J8" s="544"/>
      <c r="K8" s="544"/>
      <c r="L8" s="544"/>
      <c r="M8" s="544"/>
      <c r="N8" s="544"/>
      <c r="O8" s="544"/>
      <c r="P8" s="544"/>
      <c r="Q8" s="544"/>
      <c r="R8" s="544"/>
      <c r="S8" s="544"/>
      <c r="T8" s="544"/>
      <c r="U8" s="544"/>
    </row>
    <row r="9" spans="1:21">
      <c r="A9" s="544"/>
      <c r="B9" s="544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  <c r="N9" s="544"/>
      <c r="O9" s="544"/>
      <c r="P9" s="544"/>
      <c r="Q9" s="544"/>
      <c r="R9" s="544"/>
      <c r="S9" s="544"/>
      <c r="T9" s="544"/>
      <c r="U9" s="544"/>
    </row>
    <row r="10" spans="1:21">
      <c r="A10" s="544"/>
      <c r="B10" s="544"/>
      <c r="C10" s="544"/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4"/>
      <c r="Q10" s="544"/>
      <c r="R10" s="544"/>
      <c r="S10" s="544"/>
      <c r="T10" s="544"/>
      <c r="U10" s="544"/>
    </row>
    <row r="11" spans="1:21">
      <c r="A11" s="544"/>
      <c r="B11" s="544"/>
      <c r="C11" s="544"/>
      <c r="D11" s="544"/>
      <c r="E11" s="544"/>
      <c r="F11" s="544"/>
      <c r="G11" s="544"/>
      <c r="H11" s="544"/>
      <c r="I11" s="544"/>
      <c r="J11" s="544"/>
      <c r="K11" s="544"/>
      <c r="L11" s="544"/>
      <c r="M11" s="544"/>
      <c r="N11" s="544"/>
      <c r="O11" s="544"/>
      <c r="P11" s="544"/>
      <c r="Q11" s="544"/>
      <c r="R11" s="544"/>
      <c r="S11" s="544"/>
      <c r="T11" s="544"/>
      <c r="U11" s="544"/>
    </row>
    <row r="12" spans="1:21">
      <c r="A12" s="544"/>
      <c r="B12" s="544"/>
      <c r="C12" s="544"/>
      <c r="D12" s="544"/>
      <c r="E12" s="544"/>
      <c r="F12" s="544"/>
      <c r="G12" s="544"/>
      <c r="H12" s="544"/>
      <c r="I12" s="544"/>
      <c r="J12" s="544"/>
      <c r="K12" s="544"/>
      <c r="L12" s="544"/>
      <c r="M12" s="544"/>
      <c r="N12" s="544"/>
      <c r="O12" s="544"/>
      <c r="P12" s="544"/>
      <c r="Q12" s="544"/>
      <c r="R12" s="544"/>
      <c r="S12" s="544"/>
      <c r="T12" s="544"/>
      <c r="U12" s="544"/>
    </row>
    <row r="13" spans="1:21">
      <c r="A13" s="544"/>
      <c r="B13" s="544"/>
      <c r="C13" s="544"/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</row>
    <row r="14" spans="1:21">
      <c r="A14" s="544"/>
      <c r="B14" s="544"/>
      <c r="C14" s="544"/>
      <c r="D14" s="544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</row>
    <row r="15" spans="1:21">
      <c r="A15" s="544"/>
      <c r="B15" s="544"/>
      <c r="C15" s="544"/>
      <c r="D15" s="544"/>
      <c r="E15" s="544"/>
      <c r="F15" s="544"/>
      <c r="G15" s="544"/>
      <c r="H15" s="544"/>
      <c r="I15" s="544"/>
      <c r="J15" s="544"/>
      <c r="K15" s="544"/>
      <c r="L15" s="544"/>
      <c r="M15" s="544"/>
      <c r="N15" s="544"/>
      <c r="O15" s="544"/>
      <c r="P15" s="544"/>
      <c r="Q15" s="544"/>
      <c r="R15" s="544"/>
      <c r="S15" s="544"/>
      <c r="T15" s="544"/>
      <c r="U15" s="544"/>
    </row>
    <row r="16" spans="1:21">
      <c r="A16" s="544"/>
      <c r="B16" s="544"/>
      <c r="C16" s="544"/>
      <c r="D16" s="544"/>
      <c r="E16" s="544"/>
      <c r="F16" s="544"/>
      <c r="G16" s="544"/>
      <c r="H16" s="544"/>
      <c r="I16" s="544"/>
      <c r="J16" s="544"/>
      <c r="K16" s="544"/>
      <c r="L16" s="544"/>
      <c r="M16" s="544"/>
      <c r="N16" s="544"/>
      <c r="O16" s="544"/>
      <c r="P16" s="544"/>
      <c r="Q16" s="544"/>
      <c r="R16" s="544"/>
      <c r="S16" s="544"/>
      <c r="T16" s="544"/>
      <c r="U16" s="544"/>
    </row>
    <row r="17" spans="1:21">
      <c r="A17" s="544"/>
      <c r="B17" s="544"/>
      <c r="C17" s="544"/>
      <c r="D17" s="544"/>
      <c r="E17" s="544"/>
      <c r="F17" s="544"/>
      <c r="G17" s="544"/>
      <c r="H17" s="544"/>
      <c r="I17" s="544"/>
      <c r="J17" s="544"/>
      <c r="K17" s="544"/>
      <c r="L17" s="544"/>
      <c r="M17" s="544"/>
      <c r="N17" s="544"/>
      <c r="O17" s="544"/>
      <c r="P17" s="544"/>
      <c r="Q17" s="544"/>
      <c r="R17" s="544"/>
      <c r="S17" s="544"/>
      <c r="T17" s="544"/>
      <c r="U17" s="544"/>
    </row>
    <row r="18" spans="1:21">
      <c r="A18" s="544"/>
      <c r="B18" s="544"/>
      <c r="C18" s="544"/>
      <c r="D18" s="544"/>
      <c r="E18" s="544"/>
      <c r="F18" s="544"/>
      <c r="G18" s="544"/>
      <c r="H18" s="544"/>
      <c r="I18" s="544"/>
      <c r="J18" s="544"/>
      <c r="K18" s="544"/>
      <c r="L18" s="544"/>
      <c r="M18" s="544"/>
      <c r="N18" s="544"/>
      <c r="O18" s="544"/>
      <c r="P18" s="544"/>
      <c r="Q18" s="544"/>
      <c r="R18" s="544"/>
      <c r="S18" s="544"/>
      <c r="T18" s="544"/>
      <c r="U18" s="544"/>
    </row>
    <row r="19" spans="1:21">
      <c r="A19" s="544"/>
      <c r="B19" s="544"/>
      <c r="C19" s="544"/>
      <c r="D19" s="544"/>
      <c r="E19" s="544"/>
      <c r="F19" s="544"/>
      <c r="G19" s="544"/>
      <c r="H19" s="544"/>
      <c r="I19" s="544"/>
      <c r="J19" s="544"/>
      <c r="K19" s="544"/>
      <c r="L19" s="544"/>
      <c r="M19" s="544"/>
      <c r="N19" s="544"/>
      <c r="O19" s="544"/>
      <c r="P19" s="544"/>
      <c r="Q19" s="544"/>
      <c r="R19" s="544"/>
      <c r="S19" s="544"/>
      <c r="T19" s="544"/>
      <c r="U19" s="544"/>
    </row>
    <row r="20" spans="1:21">
      <c r="A20" s="544"/>
      <c r="B20" s="544"/>
      <c r="C20" s="544"/>
      <c r="D20" s="544"/>
      <c r="E20" s="544"/>
      <c r="F20" s="544"/>
      <c r="G20" s="544"/>
      <c r="H20" s="544"/>
      <c r="I20" s="544"/>
      <c r="J20" s="544"/>
      <c r="K20" s="544"/>
      <c r="L20" s="544"/>
      <c r="M20" s="544"/>
      <c r="N20" s="544"/>
      <c r="O20" s="544"/>
      <c r="P20" s="544"/>
      <c r="Q20" s="544"/>
      <c r="R20" s="544"/>
      <c r="S20" s="544"/>
      <c r="T20" s="544"/>
      <c r="U20" s="544"/>
    </row>
    <row r="21" spans="1:21">
      <c r="A21" s="544"/>
      <c r="B21" s="544"/>
      <c r="C21" s="544"/>
      <c r="D21" s="544"/>
      <c r="E21" s="544"/>
      <c r="F21" s="544"/>
      <c r="G21" s="544"/>
      <c r="H21" s="544"/>
      <c r="I21" s="544"/>
      <c r="J21" s="544"/>
      <c r="K21" s="544"/>
      <c r="L21" s="544"/>
      <c r="M21" s="544"/>
      <c r="N21" s="544"/>
      <c r="O21" s="544"/>
      <c r="P21" s="544"/>
      <c r="Q21" s="544"/>
      <c r="R21" s="544"/>
      <c r="S21" s="544"/>
      <c r="T21" s="544"/>
      <c r="U21" s="544"/>
    </row>
    <row r="22" spans="1:21">
      <c r="A22" s="544"/>
      <c r="B22" s="544"/>
      <c r="C22" s="544"/>
      <c r="D22" s="544"/>
      <c r="E22" s="544"/>
      <c r="F22" s="544"/>
      <c r="G22" s="544"/>
      <c r="H22" s="544"/>
      <c r="I22" s="544"/>
      <c r="J22" s="544"/>
      <c r="K22" s="544"/>
      <c r="L22" s="544"/>
      <c r="M22" s="544"/>
      <c r="N22" s="544"/>
      <c r="O22" s="544"/>
      <c r="P22" s="544"/>
      <c r="Q22" s="544"/>
      <c r="R22" s="544"/>
      <c r="S22" s="544"/>
      <c r="T22" s="544"/>
      <c r="U22" s="544"/>
    </row>
    <row r="23" spans="1:21">
      <c r="A23" s="544"/>
      <c r="B23" s="544"/>
      <c r="C23" s="544"/>
      <c r="D23" s="544"/>
      <c r="E23" s="544"/>
      <c r="F23" s="544"/>
      <c r="G23" s="544"/>
      <c r="H23" s="544"/>
      <c r="I23" s="544"/>
      <c r="J23" s="544"/>
      <c r="K23" s="544"/>
      <c r="L23" s="544"/>
      <c r="M23" s="544"/>
      <c r="N23" s="544"/>
      <c r="O23" s="544"/>
      <c r="P23" s="544"/>
      <c r="Q23" s="544"/>
      <c r="R23" s="544"/>
      <c r="S23" s="544"/>
      <c r="T23" s="544"/>
      <c r="U23" s="544"/>
    </row>
    <row r="24" spans="1:21">
      <c r="A24" s="544"/>
      <c r="B24" s="544"/>
      <c r="C24" s="544"/>
      <c r="D24" s="544"/>
      <c r="E24" s="544"/>
      <c r="F24" s="544"/>
      <c r="G24" s="544"/>
      <c r="H24" s="544"/>
      <c r="I24" s="544"/>
      <c r="J24" s="544"/>
      <c r="K24" s="544"/>
      <c r="L24" s="544"/>
      <c r="M24" s="544"/>
      <c r="N24" s="544"/>
      <c r="O24" s="544"/>
      <c r="P24" s="544"/>
      <c r="Q24" s="544"/>
      <c r="R24" s="544"/>
      <c r="S24" s="544"/>
      <c r="T24" s="544"/>
      <c r="U24" s="544"/>
    </row>
    <row r="25" spans="1:21">
      <c r="A25" s="544"/>
      <c r="B25" s="544"/>
      <c r="C25" s="544"/>
      <c r="D25" s="544"/>
      <c r="E25" s="544"/>
      <c r="F25" s="544"/>
      <c r="G25" s="544"/>
      <c r="H25" s="544"/>
      <c r="I25" s="544"/>
      <c r="J25" s="544"/>
      <c r="K25" s="544"/>
      <c r="L25" s="544"/>
      <c r="M25" s="544"/>
      <c r="N25" s="544"/>
      <c r="O25" s="544"/>
      <c r="P25" s="544"/>
      <c r="Q25" s="544"/>
      <c r="R25" s="544"/>
      <c r="S25" s="544"/>
      <c r="T25" s="544"/>
      <c r="U25" s="544"/>
    </row>
    <row r="26" spans="1:21">
      <c r="A26" s="544"/>
      <c r="B26" s="544"/>
      <c r="C26" s="544"/>
      <c r="D26" s="544"/>
      <c r="E26" s="544"/>
      <c r="F26" s="544"/>
      <c r="G26" s="544"/>
      <c r="H26" s="544"/>
      <c r="I26" s="544"/>
      <c r="J26" s="544"/>
      <c r="K26" s="544"/>
      <c r="L26" s="544"/>
      <c r="M26" s="544"/>
      <c r="N26" s="544"/>
      <c r="O26" s="544"/>
      <c r="P26" s="544"/>
      <c r="Q26" s="544"/>
      <c r="R26" s="544"/>
      <c r="S26" s="544"/>
      <c r="T26" s="544"/>
      <c r="U26" s="544"/>
    </row>
    <row r="27" spans="1:21">
      <c r="A27" s="544"/>
      <c r="B27" s="544"/>
      <c r="C27" s="544"/>
      <c r="D27" s="544"/>
      <c r="E27" s="544"/>
      <c r="F27" s="544"/>
      <c r="G27" s="544"/>
      <c r="H27" s="544"/>
      <c r="I27" s="544"/>
      <c r="J27" s="544"/>
      <c r="K27" s="544"/>
      <c r="L27" s="544"/>
      <c r="M27" s="544"/>
      <c r="N27" s="544"/>
      <c r="O27" s="544"/>
      <c r="P27" s="544"/>
      <c r="Q27" s="544"/>
      <c r="R27" s="544"/>
      <c r="S27" s="544"/>
      <c r="T27" s="544"/>
      <c r="U27" s="544"/>
    </row>
    <row r="28" spans="1:21">
      <c r="A28" s="544"/>
      <c r="B28" s="544"/>
      <c r="C28" s="544"/>
      <c r="D28" s="544"/>
      <c r="E28" s="544"/>
      <c r="F28" s="544"/>
      <c r="G28" s="544"/>
      <c r="H28" s="544"/>
      <c r="I28" s="544"/>
      <c r="J28" s="544"/>
      <c r="K28" s="544"/>
      <c r="L28" s="544"/>
      <c r="M28" s="544"/>
      <c r="N28" s="544"/>
      <c r="O28" s="544"/>
      <c r="P28" s="544"/>
      <c r="Q28" s="544"/>
      <c r="R28" s="544"/>
      <c r="S28" s="544"/>
      <c r="T28" s="544"/>
      <c r="U28" s="544"/>
    </row>
    <row r="29" spans="1:21">
      <c r="A29" s="544"/>
      <c r="B29" s="544"/>
      <c r="C29" s="544"/>
      <c r="D29" s="544"/>
      <c r="E29" s="544"/>
      <c r="F29" s="544"/>
      <c r="G29" s="544"/>
      <c r="H29" s="544"/>
      <c r="I29" s="544"/>
      <c r="J29" s="544"/>
      <c r="K29" s="544"/>
      <c r="L29" s="544"/>
      <c r="M29" s="544"/>
      <c r="N29" s="544"/>
      <c r="O29" s="544"/>
      <c r="P29" s="544"/>
      <c r="Q29" s="544"/>
      <c r="R29" s="544"/>
      <c r="S29" s="544"/>
      <c r="T29" s="544"/>
      <c r="U29" s="544"/>
    </row>
    <row r="30" spans="1:21">
      <c r="A30" s="544"/>
      <c r="B30" s="544"/>
      <c r="C30" s="544"/>
      <c r="D30" s="544"/>
      <c r="E30" s="544"/>
      <c r="F30" s="544"/>
      <c r="G30" s="544"/>
      <c r="H30" s="544"/>
      <c r="I30" s="544"/>
      <c r="J30" s="544"/>
      <c r="K30" s="544"/>
      <c r="L30" s="544"/>
      <c r="M30" s="544"/>
      <c r="N30" s="544"/>
      <c r="O30" s="544"/>
      <c r="P30" s="544"/>
      <c r="Q30" s="544"/>
      <c r="R30" s="544"/>
      <c r="S30" s="544"/>
      <c r="T30" s="544"/>
      <c r="U30" s="544"/>
    </row>
    <row r="31" spans="1:21">
      <c r="A31" s="544"/>
      <c r="B31" s="544"/>
      <c r="C31" s="544"/>
      <c r="D31" s="544"/>
      <c r="E31" s="544"/>
      <c r="F31" s="544"/>
      <c r="G31" s="544"/>
      <c r="H31" s="544"/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</row>
    <row r="32" spans="1:21">
      <c r="A32" s="544"/>
      <c r="B32" s="544"/>
      <c r="C32" s="544"/>
      <c r="D32" s="544"/>
      <c r="E32" s="544"/>
      <c r="F32" s="544"/>
      <c r="G32" s="544"/>
      <c r="H32" s="544"/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</row>
    <row r="33" spans="1:21">
      <c r="A33" s="544"/>
      <c r="B33" s="544"/>
      <c r="C33" s="544"/>
      <c r="D33" s="544"/>
      <c r="E33" s="544"/>
      <c r="F33" s="544"/>
      <c r="G33" s="544"/>
      <c r="H33" s="544"/>
      <c r="I33" s="544"/>
      <c r="J33" s="544"/>
      <c r="K33" s="544"/>
      <c r="L33" s="544"/>
      <c r="M33" s="544"/>
      <c r="N33" s="544"/>
      <c r="O33" s="544"/>
      <c r="P33" s="544"/>
      <c r="Q33" s="544"/>
      <c r="R33" s="544"/>
      <c r="S33" s="544"/>
      <c r="T33" s="544"/>
      <c r="U33" s="544"/>
    </row>
    <row r="34" spans="1:21">
      <c r="A34" s="544"/>
      <c r="B34" s="544"/>
      <c r="C34" s="544"/>
      <c r="D34" s="544"/>
      <c r="E34" s="544"/>
      <c r="F34" s="544"/>
      <c r="G34" s="544"/>
      <c r="H34" s="544"/>
      <c r="I34" s="544"/>
      <c r="J34" s="544"/>
      <c r="K34" s="544"/>
      <c r="L34" s="544"/>
      <c r="M34" s="544"/>
      <c r="N34" s="544"/>
      <c r="O34" s="544"/>
      <c r="P34" s="544"/>
      <c r="Q34" s="544"/>
      <c r="R34" s="544"/>
      <c r="S34" s="544"/>
      <c r="T34" s="544"/>
      <c r="U34" s="544"/>
    </row>
    <row r="35" spans="1:21">
      <c r="A35" s="544"/>
      <c r="B35" s="544"/>
      <c r="C35" s="544"/>
      <c r="D35" s="544"/>
      <c r="E35" s="544"/>
      <c r="F35" s="544"/>
      <c r="G35" s="544"/>
      <c r="H35" s="544"/>
      <c r="I35" s="544"/>
      <c r="J35" s="544"/>
      <c r="K35" s="544"/>
      <c r="L35" s="544"/>
      <c r="M35" s="544"/>
      <c r="N35" s="544"/>
      <c r="O35" s="544"/>
      <c r="P35" s="544"/>
      <c r="Q35" s="544"/>
      <c r="R35" s="544"/>
      <c r="S35" s="544"/>
      <c r="T35" s="544"/>
      <c r="U35" s="544"/>
    </row>
    <row r="36" spans="1:21">
      <c r="A36" s="544"/>
      <c r="B36" s="544"/>
      <c r="C36" s="544"/>
      <c r="D36" s="544"/>
      <c r="E36" s="544"/>
      <c r="F36" s="544"/>
      <c r="G36" s="544"/>
      <c r="H36" s="544"/>
      <c r="I36" s="544"/>
      <c r="J36" s="544"/>
      <c r="K36" s="544"/>
      <c r="L36" s="544"/>
      <c r="M36" s="544"/>
      <c r="N36" s="544"/>
      <c r="O36" s="544"/>
      <c r="P36" s="544"/>
      <c r="Q36" s="544"/>
      <c r="R36" s="544"/>
      <c r="S36" s="544"/>
      <c r="T36" s="544"/>
      <c r="U36" s="544"/>
    </row>
    <row r="37" spans="1:21">
      <c r="A37" s="544"/>
      <c r="B37" s="544"/>
      <c r="C37" s="544"/>
      <c r="D37" s="544"/>
      <c r="E37" s="544"/>
      <c r="F37" s="544"/>
      <c r="G37" s="544"/>
      <c r="H37" s="544"/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4"/>
      <c r="T37" s="544"/>
      <c r="U37" s="544"/>
    </row>
    <row r="38" spans="1:21">
      <c r="A38" s="544"/>
      <c r="B38" s="544"/>
      <c r="C38" s="544"/>
      <c r="D38" s="544"/>
      <c r="E38" s="544"/>
      <c r="F38" s="544"/>
      <c r="G38" s="544"/>
      <c r="H38" s="544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4"/>
      <c r="T38" s="544"/>
      <c r="U38" s="544"/>
    </row>
    <row r="39" spans="1:21">
      <c r="A39" s="544"/>
      <c r="B39" s="544"/>
      <c r="C39" s="544"/>
      <c r="D39" s="544"/>
      <c r="E39" s="544"/>
      <c r="F39" s="544"/>
      <c r="G39" s="544"/>
      <c r="H39" s="544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4"/>
      <c r="T39" s="544"/>
      <c r="U39" s="544"/>
    </row>
    <row r="40" spans="1:21">
      <c r="A40" s="544"/>
      <c r="B40" s="544"/>
      <c r="C40" s="544"/>
      <c r="D40" s="544"/>
      <c r="E40" s="544"/>
      <c r="F40" s="544"/>
      <c r="G40" s="544"/>
      <c r="H40" s="544"/>
      <c r="I40" s="544"/>
      <c r="J40" s="544"/>
      <c r="K40" s="544"/>
      <c r="L40" s="544"/>
      <c r="M40" s="544"/>
      <c r="N40" s="544"/>
      <c r="O40" s="544"/>
      <c r="P40" s="544"/>
      <c r="Q40" s="544"/>
      <c r="R40" s="544"/>
      <c r="S40" s="544"/>
      <c r="T40" s="544"/>
      <c r="U40" s="544"/>
    </row>
    <row r="41" spans="1:21">
      <c r="A41" s="544"/>
      <c r="B41" s="544"/>
      <c r="C41" s="544"/>
      <c r="D41" s="544"/>
      <c r="E41" s="544"/>
      <c r="F41" s="544"/>
      <c r="G41" s="544"/>
      <c r="H41" s="544"/>
      <c r="I41" s="544"/>
      <c r="J41" s="544"/>
      <c r="K41" s="544"/>
      <c r="L41" s="544"/>
      <c r="M41" s="544"/>
      <c r="N41" s="544"/>
      <c r="O41" s="544"/>
      <c r="P41" s="544"/>
      <c r="Q41" s="544"/>
      <c r="R41" s="544"/>
      <c r="S41" s="544"/>
      <c r="T41" s="544"/>
      <c r="U41" s="544"/>
    </row>
    <row r="42" spans="1:21">
      <c r="A42" s="544"/>
      <c r="B42" s="544"/>
      <c r="C42" s="544"/>
      <c r="D42" s="544"/>
      <c r="E42" s="544"/>
      <c r="F42" s="544"/>
      <c r="G42" s="544"/>
      <c r="H42" s="544"/>
      <c r="I42" s="544"/>
      <c r="J42" s="544"/>
      <c r="K42" s="544"/>
      <c r="L42" s="544"/>
      <c r="M42" s="544"/>
      <c r="N42" s="544"/>
      <c r="O42" s="544"/>
      <c r="P42" s="544"/>
      <c r="Q42" s="544"/>
      <c r="R42" s="544"/>
      <c r="S42" s="544"/>
      <c r="T42" s="544"/>
      <c r="U42" s="544"/>
    </row>
    <row r="43" spans="1:21">
      <c r="A43" s="544"/>
      <c r="B43" s="544"/>
      <c r="C43" s="544"/>
      <c r="D43" s="544"/>
      <c r="E43" s="544"/>
      <c r="F43" s="544"/>
      <c r="G43" s="544"/>
      <c r="H43" s="544"/>
      <c r="I43" s="544"/>
      <c r="J43" s="544"/>
      <c r="K43" s="544"/>
      <c r="L43" s="544"/>
      <c r="M43" s="544"/>
      <c r="N43" s="544"/>
      <c r="O43" s="544"/>
      <c r="P43" s="544"/>
      <c r="Q43" s="544"/>
      <c r="R43" s="544"/>
      <c r="S43" s="544"/>
      <c r="T43" s="544"/>
      <c r="U43" s="544"/>
    </row>
    <row r="44" spans="1:21">
      <c r="A44" s="544"/>
      <c r="B44" s="544"/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</row>
    <row r="45" spans="1:21">
      <c r="A45" s="544"/>
      <c r="B45" s="544"/>
      <c r="C45" s="544"/>
      <c r="D45" s="544"/>
      <c r="E45" s="544"/>
      <c r="F45" s="544"/>
      <c r="G45" s="544"/>
      <c r="H45" s="544"/>
      <c r="I45" s="544"/>
      <c r="J45" s="544"/>
      <c r="K45" s="544"/>
      <c r="L45" s="544"/>
      <c r="M45" s="544"/>
      <c r="N45" s="544"/>
      <c r="O45" s="544"/>
      <c r="P45" s="544"/>
      <c r="Q45" s="544"/>
      <c r="R45" s="544"/>
      <c r="S45" s="544"/>
      <c r="T45" s="544"/>
      <c r="U45" s="544"/>
    </row>
    <row r="46" spans="1:21">
      <c r="A46" s="544"/>
      <c r="B46" s="544"/>
      <c r="C46" s="544"/>
      <c r="D46" s="544"/>
      <c r="E46" s="544"/>
      <c r="F46" s="544"/>
      <c r="G46" s="544"/>
      <c r="H46" s="544"/>
      <c r="I46" s="544"/>
      <c r="J46" s="544"/>
      <c r="K46" s="544"/>
      <c r="L46" s="544"/>
      <c r="M46" s="544"/>
      <c r="N46" s="544"/>
      <c r="O46" s="544"/>
      <c r="P46" s="544"/>
      <c r="Q46" s="544"/>
      <c r="R46" s="544"/>
      <c r="S46" s="544"/>
      <c r="T46" s="544"/>
      <c r="U46" s="544"/>
    </row>
    <row r="47" spans="1:21">
      <c r="A47" s="544"/>
      <c r="B47" s="544"/>
      <c r="C47" s="544"/>
      <c r="D47" s="544"/>
      <c r="E47" s="544"/>
      <c r="F47" s="544"/>
      <c r="G47" s="544"/>
      <c r="H47" s="544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4"/>
      <c r="T47" s="544"/>
      <c r="U47" s="544"/>
    </row>
    <row r="48" spans="1:21">
      <c r="A48" s="544"/>
      <c r="B48" s="544"/>
      <c r="C48" s="544"/>
      <c r="D48" s="544"/>
      <c r="E48" s="544"/>
      <c r="F48" s="544"/>
      <c r="G48" s="544"/>
      <c r="H48" s="544"/>
      <c r="I48" s="544"/>
      <c r="J48" s="544"/>
      <c r="K48" s="544"/>
      <c r="L48" s="544"/>
      <c r="M48" s="544"/>
      <c r="N48" s="544"/>
      <c r="O48" s="544"/>
      <c r="P48" s="544"/>
      <c r="Q48" s="544"/>
      <c r="R48" s="544"/>
      <c r="S48" s="544"/>
      <c r="T48" s="544"/>
      <c r="U48" s="544"/>
    </row>
  </sheetData>
  <sheetProtection algorithmName="SHA-512" hashValue="LVW2tp9ZvxDxC+K2/LyDdki02hVaS/e9SuzUD6n9utyXNT6STc1W7tWBEacqn6DQ1LBErV2fPfTGdXb8gvYfYQ==" saltValue="OrwLjakDm77lXbeDY3KwbQ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8715-4C0A-4799-9FF3-66AFAADBABD7}">
  <sheetPr codeName="Sheet1">
    <tabColor rgb="FF002060"/>
  </sheetPr>
  <dimension ref="A1:U109"/>
  <sheetViews>
    <sheetView showGridLines="0" showRowColHeaders="0" workbookViewId="0">
      <selection activeCell="U2" sqref="U2"/>
    </sheetView>
  </sheetViews>
  <sheetFormatPr defaultRowHeight="15"/>
  <sheetData>
    <row r="1" spans="1:21">
      <c r="A1" s="546"/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</row>
    <row r="2" spans="1:21">
      <c r="A2" s="546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</row>
    <row r="3" spans="1:21">
      <c r="A3" s="546"/>
      <c r="B3" s="546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46"/>
    </row>
    <row r="4" spans="1:21">
      <c r="A4" s="546"/>
      <c r="B4" s="546"/>
      <c r="C4" s="546"/>
      <c r="D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 s="546"/>
      <c r="T4" s="546"/>
      <c r="U4" s="546"/>
    </row>
    <row r="5" spans="1:21">
      <c r="A5" s="546"/>
      <c r="B5" s="546"/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 s="546"/>
      <c r="T5" s="546"/>
      <c r="U5" s="546"/>
    </row>
    <row r="6" spans="1:21">
      <c r="A6" s="546"/>
      <c r="B6" s="546"/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6"/>
      <c r="T6" s="546"/>
      <c r="U6" s="546"/>
    </row>
    <row r="7" spans="1:21">
      <c r="A7" s="546"/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46"/>
    </row>
    <row r="8" spans="1:21">
      <c r="A8" s="546"/>
      <c r="B8" s="546"/>
      <c r="C8" s="546"/>
      <c r="D8" s="546"/>
      <c r="E8" s="546"/>
      <c r="F8" s="546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</row>
    <row r="9" spans="1:21">
      <c r="A9" s="546"/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546"/>
      <c r="Q9" s="546"/>
      <c r="R9" s="546"/>
      <c r="S9" s="546"/>
      <c r="T9" s="546"/>
      <c r="U9" s="546"/>
    </row>
    <row r="10" spans="1:21">
      <c r="A10" s="546"/>
      <c r="B10" s="546"/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6"/>
      <c r="O10" s="546"/>
      <c r="P10" s="546"/>
      <c r="Q10" s="546"/>
      <c r="R10" s="546"/>
      <c r="S10" s="546"/>
      <c r="T10" s="546"/>
      <c r="U10" s="546"/>
    </row>
    <row r="11" spans="1:21">
      <c r="A11" s="546"/>
      <c r="B11" s="546"/>
      <c r="C11" s="546"/>
      <c r="D11" s="546"/>
      <c r="E11" s="546"/>
      <c r="F11" s="546"/>
      <c r="G11" s="546"/>
      <c r="H11" s="546"/>
      <c r="I11" s="546"/>
      <c r="J11" s="546"/>
      <c r="K11" s="546"/>
      <c r="L11" s="546"/>
      <c r="M11" s="546"/>
      <c r="N11" s="546"/>
      <c r="O11" s="546"/>
      <c r="P11" s="546"/>
      <c r="Q11" s="546"/>
      <c r="R11" s="546"/>
      <c r="S11" s="546"/>
      <c r="T11" s="546"/>
      <c r="U11" s="546"/>
    </row>
    <row r="12" spans="1:21">
      <c r="A12" s="546"/>
      <c r="B12" s="546"/>
      <c r="C12" s="546"/>
      <c r="D12" s="546"/>
      <c r="E12" s="546"/>
      <c r="F12" s="546"/>
      <c r="G12" s="546"/>
      <c r="H12" s="546"/>
      <c r="I12" s="546"/>
      <c r="J12" s="546"/>
      <c r="K12" s="546"/>
      <c r="L12" s="546"/>
      <c r="M12" s="546"/>
      <c r="N12" s="546"/>
      <c r="O12" s="546"/>
      <c r="P12" s="546"/>
      <c r="Q12" s="546"/>
      <c r="R12" s="546"/>
      <c r="S12" s="546"/>
      <c r="T12" s="546"/>
      <c r="U12" s="546"/>
    </row>
    <row r="13" spans="1:21">
      <c r="A13" s="546"/>
      <c r="B13" s="546"/>
      <c r="C13" s="546"/>
      <c r="D13" s="546"/>
      <c r="E13" s="546"/>
      <c r="F13" s="546"/>
      <c r="G13" s="546"/>
      <c r="H13" s="546"/>
      <c r="I13" s="546"/>
      <c r="J13" s="546"/>
      <c r="K13" s="546"/>
      <c r="L13" s="546"/>
      <c r="M13" s="546"/>
      <c r="N13" s="546"/>
      <c r="O13" s="546"/>
      <c r="P13" s="546"/>
      <c r="Q13" s="546"/>
      <c r="R13" s="546"/>
      <c r="S13" s="546"/>
      <c r="T13" s="546"/>
      <c r="U13" s="546"/>
    </row>
    <row r="14" spans="1:21">
      <c r="A14" s="546"/>
      <c r="B14" s="546"/>
      <c r="C14" s="546"/>
      <c r="D14" s="546"/>
      <c r="E14" s="546"/>
      <c r="F14" s="546"/>
      <c r="G14" s="546"/>
      <c r="H14" s="546"/>
      <c r="I14" s="546"/>
      <c r="J14" s="546"/>
      <c r="K14" s="546"/>
      <c r="L14" s="546"/>
      <c r="M14" s="546"/>
      <c r="N14" s="546"/>
      <c r="O14" s="546"/>
      <c r="P14" s="546"/>
      <c r="Q14" s="546"/>
      <c r="R14" s="546"/>
      <c r="S14" s="546"/>
      <c r="T14" s="546"/>
      <c r="U14" s="546"/>
    </row>
    <row r="15" spans="1:21">
      <c r="A15" s="546"/>
      <c r="B15" s="546"/>
      <c r="C15" s="546"/>
      <c r="D15" s="546"/>
      <c r="E15" s="546"/>
      <c r="F15" s="546"/>
      <c r="G15" s="546"/>
      <c r="H15" s="546"/>
      <c r="I15" s="546"/>
      <c r="J15" s="546"/>
      <c r="K15" s="546"/>
      <c r="L15" s="546"/>
      <c r="M15" s="546"/>
      <c r="N15" s="546"/>
      <c r="O15" s="546"/>
      <c r="P15" s="546"/>
      <c r="Q15" s="546"/>
      <c r="R15" s="546"/>
      <c r="S15" s="546"/>
      <c r="T15" s="546"/>
      <c r="U15" s="546"/>
    </row>
    <row r="16" spans="1:21">
      <c r="A16" s="546"/>
      <c r="B16" s="546"/>
      <c r="C16" s="546"/>
      <c r="D16" s="546"/>
      <c r="E16" s="546"/>
      <c r="F16" s="546"/>
      <c r="G16" s="546"/>
      <c r="H16" s="546"/>
      <c r="I16" s="546"/>
      <c r="J16" s="546"/>
      <c r="K16" s="546"/>
      <c r="L16" s="546"/>
      <c r="M16" s="546"/>
      <c r="N16" s="546"/>
      <c r="O16" s="546"/>
      <c r="P16" s="546"/>
      <c r="Q16" s="546"/>
      <c r="R16" s="546"/>
      <c r="S16" s="546"/>
      <c r="T16" s="546"/>
      <c r="U16" s="546"/>
    </row>
    <row r="17" spans="1:21">
      <c r="A17" s="546"/>
      <c r="B17" s="546"/>
      <c r="C17" s="546"/>
      <c r="D17" s="546"/>
      <c r="E17" s="546"/>
      <c r="F17" s="546"/>
      <c r="G17" s="546"/>
      <c r="H17" s="546"/>
      <c r="I17" s="546"/>
      <c r="J17" s="546"/>
      <c r="K17" s="546"/>
      <c r="L17" s="546"/>
      <c r="M17" s="546"/>
      <c r="N17" s="546"/>
      <c r="O17" s="546"/>
      <c r="P17" s="546"/>
      <c r="Q17" s="546"/>
      <c r="R17" s="546"/>
      <c r="S17" s="546"/>
      <c r="T17" s="546"/>
      <c r="U17" s="546"/>
    </row>
    <row r="18" spans="1:21">
      <c r="A18" s="546"/>
      <c r="B18" s="546"/>
      <c r="C18" s="546"/>
      <c r="D18" s="546"/>
      <c r="E18" s="546"/>
      <c r="F18" s="546"/>
      <c r="G18" s="546"/>
      <c r="H18" s="546"/>
      <c r="I18" s="546"/>
      <c r="J18" s="546"/>
      <c r="K18" s="546"/>
      <c r="L18" s="546"/>
      <c r="M18" s="546"/>
      <c r="N18" s="546"/>
      <c r="O18" s="546"/>
      <c r="P18" s="546"/>
      <c r="Q18" s="546"/>
      <c r="R18" s="546"/>
      <c r="S18" s="546"/>
      <c r="T18" s="546"/>
      <c r="U18" s="546"/>
    </row>
    <row r="19" spans="1:21">
      <c r="A19" s="546"/>
      <c r="B19" s="546"/>
      <c r="C19" s="546"/>
      <c r="D19" s="546"/>
      <c r="E19" s="546"/>
      <c r="F19" s="546"/>
      <c r="G19" s="546"/>
      <c r="H19" s="546"/>
      <c r="I19" s="546"/>
      <c r="J19" s="546"/>
      <c r="K19" s="546"/>
      <c r="L19" s="546"/>
      <c r="M19" s="546"/>
      <c r="N19" s="546"/>
      <c r="O19" s="546"/>
      <c r="P19" s="546"/>
      <c r="Q19" s="546"/>
      <c r="R19" s="546"/>
      <c r="S19" s="546"/>
      <c r="T19" s="546"/>
      <c r="U19" s="546"/>
    </row>
    <row r="20" spans="1:21">
      <c r="A20" s="546"/>
      <c r="B20" s="546"/>
      <c r="C20" s="546"/>
      <c r="D20" s="546"/>
      <c r="E20" s="546"/>
      <c r="F20" s="546"/>
      <c r="G20" s="546"/>
      <c r="H20" s="546"/>
      <c r="I20" s="546"/>
      <c r="J20" s="546"/>
      <c r="K20" s="546"/>
      <c r="L20" s="546"/>
      <c r="M20" s="546"/>
      <c r="N20" s="546"/>
      <c r="O20" s="546"/>
      <c r="P20" s="546"/>
      <c r="Q20" s="546"/>
      <c r="R20" s="546"/>
      <c r="S20" s="546"/>
      <c r="T20" s="546"/>
      <c r="U20" s="546"/>
    </row>
    <row r="21" spans="1:21">
      <c r="A21" s="546"/>
      <c r="B21" s="546"/>
      <c r="C21" s="546"/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  <c r="R21" s="546"/>
      <c r="S21" s="546"/>
      <c r="T21" s="546"/>
      <c r="U21" s="546"/>
    </row>
    <row r="22" spans="1:21">
      <c r="A22" s="546"/>
      <c r="B22" s="546"/>
      <c r="C22" s="546"/>
      <c r="D22" s="546"/>
      <c r="E22" s="546"/>
      <c r="F22" s="546"/>
      <c r="G22" s="546"/>
      <c r="H22" s="546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1">
      <c r="A23" s="546"/>
      <c r="B23" s="546"/>
      <c r="C23" s="546"/>
      <c r="D23" s="546"/>
      <c r="E23" s="546"/>
      <c r="F23" s="546"/>
      <c r="G23" s="546"/>
      <c r="H23" s="546"/>
      <c r="I23" s="546"/>
      <c r="J23" s="546"/>
      <c r="K23" s="546"/>
      <c r="L23" s="546"/>
      <c r="M23" s="546"/>
      <c r="N23" s="546"/>
      <c r="O23" s="546"/>
      <c r="P23" s="546"/>
      <c r="Q23" s="546"/>
      <c r="R23" s="546"/>
      <c r="S23" s="546"/>
      <c r="T23" s="546"/>
      <c r="U23" s="546"/>
    </row>
    <row r="24" spans="1:21">
      <c r="A24" s="546"/>
      <c r="B24" s="546"/>
      <c r="C24" s="546"/>
      <c r="D24" s="546"/>
      <c r="E24" s="546"/>
      <c r="F24" s="546"/>
      <c r="G24" s="546"/>
      <c r="H24" s="546"/>
      <c r="I24" s="546"/>
      <c r="J24" s="546"/>
      <c r="K24" s="546"/>
      <c r="L24" s="546"/>
      <c r="M24" s="546"/>
      <c r="N24" s="546"/>
      <c r="O24" s="546"/>
      <c r="P24" s="546"/>
      <c r="Q24" s="546"/>
      <c r="R24" s="546"/>
      <c r="S24" s="546"/>
      <c r="T24" s="546"/>
      <c r="U24" s="546"/>
    </row>
    <row r="25" spans="1:21">
      <c r="A25" s="546"/>
      <c r="B25" s="546"/>
      <c r="C25" s="546"/>
      <c r="D25" s="546"/>
      <c r="E25" s="546"/>
      <c r="F25" s="546"/>
      <c r="G25" s="546"/>
      <c r="H25" s="546"/>
      <c r="I25" s="546"/>
      <c r="J25" s="546"/>
      <c r="K25" s="546"/>
      <c r="L25" s="546"/>
      <c r="M25" s="546"/>
      <c r="N25" s="546"/>
      <c r="O25" s="546"/>
      <c r="P25" s="546"/>
      <c r="Q25" s="546"/>
      <c r="R25" s="546"/>
      <c r="S25" s="546"/>
      <c r="T25" s="546"/>
      <c r="U25" s="546"/>
    </row>
    <row r="26" spans="1:21">
      <c r="A26" s="546"/>
      <c r="B26" s="546"/>
      <c r="C26" s="546"/>
      <c r="D26" s="546"/>
      <c r="E26" s="546"/>
      <c r="F26" s="546"/>
      <c r="G26" s="546"/>
      <c r="H26" s="546"/>
      <c r="I26" s="546"/>
      <c r="J26" s="546"/>
      <c r="K26" s="546"/>
      <c r="L26" s="546"/>
      <c r="M26" s="546"/>
      <c r="N26" s="546"/>
      <c r="O26" s="546"/>
      <c r="P26" s="546"/>
      <c r="Q26" s="546"/>
      <c r="R26" s="546"/>
      <c r="S26" s="546"/>
      <c r="T26" s="546"/>
      <c r="U26" s="546"/>
    </row>
    <row r="27" spans="1:21">
      <c r="A27" s="546"/>
      <c r="B27" s="546"/>
      <c r="C27" s="546"/>
      <c r="D27" s="546"/>
      <c r="E27" s="546"/>
      <c r="F27" s="546"/>
      <c r="G27" s="546"/>
      <c r="H27" s="546"/>
      <c r="I27" s="546"/>
      <c r="J27" s="546"/>
      <c r="K27" s="546"/>
      <c r="L27" s="546"/>
      <c r="M27" s="546"/>
      <c r="N27" s="546"/>
      <c r="O27" s="546"/>
      <c r="P27" s="546"/>
      <c r="Q27" s="546"/>
      <c r="R27" s="546"/>
      <c r="S27" s="546"/>
      <c r="T27" s="546"/>
      <c r="U27" s="546"/>
    </row>
    <row r="28" spans="1:21">
      <c r="A28" s="546"/>
      <c r="B28" s="546"/>
      <c r="C28" s="546"/>
      <c r="D28" s="546"/>
      <c r="E28" s="546"/>
      <c r="F28" s="546"/>
      <c r="G28" s="546"/>
      <c r="H28" s="546"/>
      <c r="I28" s="546"/>
      <c r="J28" s="546"/>
      <c r="K28" s="546"/>
      <c r="L28" s="546"/>
      <c r="M28" s="546"/>
      <c r="N28" s="546"/>
      <c r="O28" s="546"/>
      <c r="P28" s="546"/>
      <c r="Q28" s="546"/>
      <c r="R28" s="546"/>
      <c r="S28" s="546"/>
      <c r="T28" s="546"/>
      <c r="U28" s="546"/>
    </row>
    <row r="29" spans="1:21">
      <c r="A29" s="546"/>
      <c r="B29" s="546"/>
      <c r="C29" s="546"/>
      <c r="D29" s="546"/>
      <c r="E29" s="546"/>
      <c r="F29" s="546"/>
      <c r="G29" s="546"/>
      <c r="H29" s="546"/>
      <c r="I29" s="546"/>
      <c r="J29" s="546"/>
      <c r="K29" s="546"/>
      <c r="L29" s="546"/>
      <c r="M29" s="546"/>
      <c r="N29" s="546"/>
      <c r="O29" s="546"/>
      <c r="P29" s="546"/>
      <c r="Q29" s="546"/>
      <c r="R29" s="546"/>
      <c r="S29" s="546"/>
      <c r="T29" s="546"/>
      <c r="U29" s="546"/>
    </row>
    <row r="30" spans="1:21">
      <c r="A30" s="546"/>
      <c r="B30" s="546"/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  <c r="S30" s="546"/>
      <c r="T30" s="546"/>
      <c r="U30" s="546"/>
    </row>
    <row r="31" spans="1:21">
      <c r="A31" s="546"/>
      <c r="B31" s="546"/>
      <c r="C31" s="546"/>
      <c r="D31" s="546"/>
      <c r="E31" s="546"/>
      <c r="F31" s="546"/>
      <c r="G31" s="546"/>
      <c r="H31" s="546"/>
      <c r="I31" s="546"/>
      <c r="J31" s="546"/>
      <c r="K31" s="546"/>
      <c r="L31" s="546"/>
      <c r="M31" s="546"/>
      <c r="N31" s="546"/>
      <c r="O31" s="546"/>
      <c r="P31" s="546"/>
      <c r="Q31" s="546"/>
      <c r="R31" s="546"/>
      <c r="S31" s="546"/>
      <c r="T31" s="546"/>
      <c r="U31" s="546"/>
    </row>
    <row r="32" spans="1:21">
      <c r="A32" s="546"/>
      <c r="B32" s="546"/>
      <c r="C32" s="546"/>
      <c r="D32" s="546"/>
      <c r="E32" s="546"/>
      <c r="F32" s="546"/>
      <c r="G32" s="546"/>
      <c r="H32" s="546"/>
      <c r="I32" s="546"/>
      <c r="J32" s="546"/>
      <c r="K32" s="546"/>
      <c r="L32" s="546"/>
      <c r="M32" s="546"/>
      <c r="N32" s="546"/>
      <c r="O32" s="546"/>
      <c r="P32" s="546"/>
      <c r="Q32" s="546"/>
      <c r="R32" s="546"/>
      <c r="S32" s="546"/>
      <c r="T32" s="546"/>
      <c r="U32" s="546"/>
    </row>
    <row r="33" spans="1:21">
      <c r="A33" s="546"/>
      <c r="B33" s="546"/>
      <c r="C33" s="546"/>
      <c r="D33" s="546"/>
      <c r="E33" s="546"/>
      <c r="F33" s="546"/>
      <c r="G33" s="546"/>
      <c r="H33" s="546"/>
      <c r="I33" s="546"/>
      <c r="J33" s="546"/>
      <c r="K33" s="546"/>
      <c r="L33" s="546"/>
      <c r="M33" s="546"/>
      <c r="N33" s="546"/>
      <c r="O33" s="546"/>
      <c r="P33" s="546"/>
      <c r="Q33" s="546"/>
      <c r="R33" s="546"/>
      <c r="S33" s="546"/>
      <c r="T33" s="546"/>
      <c r="U33" s="546"/>
    </row>
    <row r="34" spans="1:21">
      <c r="A34" s="546"/>
      <c r="B34" s="546"/>
      <c r="C34" s="546"/>
      <c r="D34" s="546"/>
      <c r="E34" s="546"/>
      <c r="F34" s="546"/>
      <c r="G34" s="546"/>
      <c r="H34" s="546"/>
      <c r="I34" s="546"/>
      <c r="J34" s="546"/>
      <c r="K34" s="546"/>
      <c r="L34" s="546"/>
      <c r="M34" s="546"/>
      <c r="N34" s="546"/>
      <c r="O34" s="546"/>
      <c r="P34" s="546"/>
      <c r="Q34" s="546"/>
      <c r="R34" s="546"/>
      <c r="S34" s="546"/>
      <c r="T34" s="546"/>
      <c r="U34" s="546"/>
    </row>
    <row r="35" spans="1:21">
      <c r="A35" s="546"/>
      <c r="B35" s="546"/>
      <c r="C35" s="546"/>
      <c r="D35" s="546"/>
      <c r="E35" s="546"/>
      <c r="F35" s="546"/>
      <c r="G35" s="546"/>
      <c r="H35" s="546"/>
      <c r="I35" s="546"/>
      <c r="J35" s="546"/>
      <c r="K35" s="546"/>
      <c r="L35" s="546"/>
      <c r="M35" s="546"/>
      <c r="N35" s="546"/>
      <c r="O35" s="546"/>
      <c r="P35" s="546"/>
      <c r="Q35" s="546"/>
      <c r="R35" s="546"/>
      <c r="S35" s="546"/>
      <c r="T35" s="546"/>
      <c r="U35" s="546"/>
    </row>
    <row r="36" spans="1:21">
      <c r="A36" s="546"/>
      <c r="B36" s="546"/>
      <c r="C36" s="546"/>
      <c r="D36" s="546"/>
      <c r="E36" s="546"/>
      <c r="F36" s="546"/>
      <c r="G36" s="546"/>
      <c r="H36" s="546"/>
      <c r="I36" s="546"/>
      <c r="J36" s="546"/>
      <c r="K36" s="546"/>
      <c r="L36" s="546"/>
      <c r="M36" s="546"/>
      <c r="N36" s="546"/>
      <c r="O36" s="546"/>
      <c r="P36" s="546"/>
      <c r="Q36" s="546"/>
      <c r="R36" s="546"/>
      <c r="S36" s="546"/>
      <c r="T36" s="546"/>
      <c r="U36" s="546"/>
    </row>
    <row r="37" spans="1:21">
      <c r="A37" s="546"/>
      <c r="B37" s="546"/>
      <c r="C37" s="546"/>
      <c r="D37" s="546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  <c r="R37" s="546"/>
      <c r="S37" s="546"/>
      <c r="T37" s="546"/>
      <c r="U37" s="546"/>
    </row>
    <row r="38" spans="1:21">
      <c r="A38" s="546"/>
      <c r="B38" s="546"/>
      <c r="C38" s="546"/>
      <c r="D38" s="546"/>
      <c r="E38" s="546"/>
      <c r="F38" s="546"/>
      <c r="G38" s="546"/>
      <c r="H38" s="546"/>
      <c r="I38" s="546"/>
      <c r="J38" s="546"/>
      <c r="K38" s="546"/>
      <c r="L38" s="546"/>
      <c r="M38" s="546"/>
      <c r="N38" s="546"/>
      <c r="O38" s="546"/>
      <c r="P38" s="546"/>
      <c r="Q38" s="546"/>
      <c r="R38" s="546"/>
      <c r="S38" s="546"/>
      <c r="T38" s="546"/>
      <c r="U38" s="546"/>
    </row>
    <row r="39" spans="1:21">
      <c r="A39" s="546"/>
      <c r="B39" s="546"/>
      <c r="C39" s="546"/>
      <c r="D39" s="546"/>
      <c r="E39" s="546"/>
      <c r="F39" s="546"/>
      <c r="G39" s="546"/>
      <c r="H39" s="546"/>
      <c r="I39" s="546"/>
      <c r="J39" s="546"/>
      <c r="K39" s="546"/>
      <c r="L39" s="546"/>
      <c r="M39" s="546"/>
      <c r="N39" s="546"/>
      <c r="O39" s="546"/>
      <c r="P39" s="546"/>
      <c r="Q39" s="546"/>
      <c r="R39" s="546"/>
      <c r="S39" s="546"/>
      <c r="T39" s="546"/>
      <c r="U39" s="546"/>
    </row>
    <row r="40" spans="1:21">
      <c r="A40" s="546"/>
      <c r="B40" s="546"/>
      <c r="C40" s="546"/>
      <c r="D40" s="546"/>
      <c r="E40" s="546"/>
      <c r="F40" s="546"/>
      <c r="G40" s="546"/>
      <c r="H40" s="546"/>
      <c r="I40" s="546"/>
      <c r="J40" s="546"/>
      <c r="K40" s="546"/>
      <c r="L40" s="546"/>
      <c r="M40" s="546"/>
      <c r="N40" s="546"/>
      <c r="O40" s="546"/>
      <c r="P40" s="546"/>
      <c r="Q40" s="546"/>
      <c r="R40" s="546"/>
      <c r="S40" s="546"/>
      <c r="T40" s="546"/>
      <c r="U40" s="546"/>
    </row>
    <row r="41" spans="1:21">
      <c r="A41" s="546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546"/>
    </row>
    <row r="42" spans="1:21">
      <c r="A42" s="546"/>
      <c r="B42" s="546"/>
      <c r="C42" s="546"/>
      <c r="D42" s="546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6"/>
      <c r="S42" s="546"/>
      <c r="T42" s="546"/>
      <c r="U42" s="546"/>
    </row>
    <row r="43" spans="1:21">
      <c r="A43" s="546"/>
      <c r="B43" s="546"/>
      <c r="C43" s="546"/>
      <c r="D43" s="546"/>
      <c r="E43" s="546"/>
      <c r="F43" s="546"/>
      <c r="G43" s="546"/>
      <c r="H43" s="546"/>
      <c r="I43" s="546"/>
      <c r="J43" s="546"/>
      <c r="K43" s="546"/>
      <c r="L43" s="546"/>
      <c r="M43" s="546"/>
      <c r="N43" s="546"/>
      <c r="O43" s="546"/>
      <c r="P43" s="546"/>
      <c r="Q43" s="546"/>
      <c r="R43" s="546"/>
      <c r="S43" s="546"/>
      <c r="T43" s="546"/>
      <c r="U43" s="546"/>
    </row>
    <row r="44" spans="1:21">
      <c r="A44" s="546"/>
      <c r="B44" s="546"/>
      <c r="C44" s="546"/>
      <c r="D44" s="546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6"/>
      <c r="S44" s="546"/>
      <c r="T44" s="546"/>
      <c r="U44" s="546"/>
    </row>
    <row r="45" spans="1:21">
      <c r="A45" s="546"/>
      <c r="B45" s="546"/>
      <c r="C45" s="546"/>
      <c r="D45" s="546"/>
      <c r="E45" s="546"/>
      <c r="F45" s="546"/>
      <c r="G45" s="546"/>
      <c r="H45" s="546"/>
      <c r="I45" s="546"/>
      <c r="J45" s="546"/>
      <c r="K45" s="546"/>
      <c r="L45" s="546"/>
      <c r="M45" s="546"/>
      <c r="N45" s="546"/>
      <c r="O45" s="546"/>
      <c r="P45" s="546"/>
      <c r="Q45" s="546"/>
      <c r="R45" s="546"/>
      <c r="S45" s="546"/>
      <c r="T45" s="546"/>
      <c r="U45" s="546"/>
    </row>
    <row r="46" spans="1:21">
      <c r="A46" s="546"/>
      <c r="B46" s="546"/>
      <c r="C46" s="546"/>
      <c r="D46" s="546"/>
      <c r="E46" s="546"/>
      <c r="F46" s="546"/>
      <c r="G46" s="546"/>
      <c r="H46" s="546"/>
      <c r="I46" s="546"/>
      <c r="J46" s="546"/>
      <c r="K46" s="546"/>
      <c r="L46" s="546"/>
      <c r="M46" s="546"/>
      <c r="N46" s="546"/>
      <c r="O46" s="546"/>
      <c r="P46" s="546"/>
      <c r="Q46" s="546"/>
      <c r="R46" s="546"/>
      <c r="S46" s="546"/>
      <c r="T46" s="546"/>
      <c r="U46" s="546"/>
    </row>
    <row r="47" spans="1:21">
      <c r="A47" s="546"/>
      <c r="B47" s="546"/>
      <c r="C47" s="546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6"/>
      <c r="S47" s="546"/>
      <c r="T47" s="546"/>
      <c r="U47" s="546"/>
    </row>
    <row r="48" spans="1:21">
      <c r="A48" s="546"/>
      <c r="B48" s="546"/>
      <c r="C48" s="546"/>
      <c r="D48" s="546"/>
      <c r="E48" s="546"/>
      <c r="F48" s="546"/>
      <c r="G48" s="546"/>
      <c r="H48" s="546"/>
      <c r="I48" s="546"/>
      <c r="J48" s="546"/>
      <c r="K48" s="546"/>
      <c r="L48" s="546"/>
      <c r="M48" s="546"/>
      <c r="N48" s="546"/>
      <c r="O48" s="546"/>
      <c r="P48" s="546"/>
      <c r="Q48" s="546"/>
      <c r="R48" s="546"/>
      <c r="S48" s="546"/>
      <c r="T48" s="546"/>
      <c r="U48" s="546"/>
    </row>
    <row r="49" spans="1:21">
      <c r="A49" s="546"/>
      <c r="B49" s="546"/>
      <c r="C49" s="546"/>
      <c r="D49" s="546"/>
      <c r="E49" s="546"/>
      <c r="F49" s="546"/>
      <c r="G49" s="546"/>
      <c r="H49" s="546"/>
      <c r="I49" s="546"/>
      <c r="J49" s="546"/>
      <c r="K49" s="546"/>
      <c r="L49" s="546"/>
      <c r="M49" s="546"/>
      <c r="N49" s="546"/>
      <c r="O49" s="546"/>
      <c r="P49" s="546"/>
      <c r="Q49" s="546"/>
      <c r="R49" s="546"/>
      <c r="S49" s="546"/>
      <c r="T49" s="546"/>
      <c r="U49" s="546"/>
    </row>
    <row r="50" spans="1:21">
      <c r="A50" s="546"/>
      <c r="B50" s="546"/>
      <c r="C50" s="546"/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6"/>
      <c r="S50" s="546"/>
      <c r="T50" s="546"/>
      <c r="U50" s="546"/>
    </row>
    <row r="51" spans="1:21">
      <c r="A51" s="546"/>
      <c r="B51" s="546"/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  <c r="R51" s="546"/>
      <c r="S51" s="546"/>
      <c r="T51" s="546"/>
      <c r="U51" s="546"/>
    </row>
    <row r="52" spans="1:21">
      <c r="A52" s="546"/>
      <c r="B52" s="546"/>
      <c r="C52" s="546"/>
      <c r="D52" s="546"/>
      <c r="E52" s="546"/>
      <c r="F52" s="546"/>
      <c r="G52" s="546"/>
      <c r="H52" s="546"/>
      <c r="I52" s="546"/>
      <c r="J52" s="546"/>
      <c r="K52" s="546"/>
      <c r="L52" s="546"/>
      <c r="M52" s="546"/>
      <c r="N52" s="546"/>
      <c r="O52" s="546"/>
      <c r="P52" s="546"/>
      <c r="Q52" s="546"/>
      <c r="R52" s="546"/>
      <c r="S52" s="546"/>
      <c r="T52" s="546"/>
      <c r="U52" s="546"/>
    </row>
    <row r="53" spans="1:21">
      <c r="A53" s="546"/>
      <c r="B53" s="546"/>
      <c r="C53" s="546"/>
      <c r="D53" s="546"/>
      <c r="E53" s="546"/>
      <c r="F53" s="546"/>
      <c r="G53" s="546"/>
      <c r="H53" s="546"/>
      <c r="I53" s="546"/>
      <c r="J53" s="546"/>
      <c r="K53" s="546"/>
      <c r="L53" s="546"/>
      <c r="M53" s="546"/>
      <c r="N53" s="546"/>
      <c r="O53" s="546"/>
      <c r="P53" s="546"/>
      <c r="Q53" s="546"/>
      <c r="R53" s="546"/>
      <c r="S53" s="546"/>
      <c r="T53" s="546"/>
      <c r="U53" s="546"/>
    </row>
    <row r="54" spans="1:21">
      <c r="A54" s="546"/>
      <c r="B54" s="546"/>
      <c r="C54" s="546"/>
      <c r="D54" s="546"/>
      <c r="E54" s="546"/>
      <c r="F54" s="546"/>
      <c r="G54" s="546"/>
      <c r="H54" s="546"/>
      <c r="I54" s="546"/>
      <c r="J54" s="546"/>
      <c r="K54" s="546"/>
      <c r="L54" s="546"/>
      <c r="M54" s="546"/>
      <c r="N54" s="546"/>
      <c r="O54" s="546"/>
      <c r="P54" s="546"/>
      <c r="Q54" s="546"/>
      <c r="R54" s="546"/>
      <c r="S54" s="546"/>
      <c r="T54" s="546"/>
      <c r="U54" s="546"/>
    </row>
    <row r="55" spans="1:21">
      <c r="A55" s="546"/>
      <c r="B55" s="546"/>
      <c r="C55" s="546"/>
      <c r="D55" s="546"/>
      <c r="E55" s="546"/>
      <c r="F55" s="546"/>
      <c r="G55" s="546"/>
      <c r="H55" s="546"/>
      <c r="I55" s="546"/>
      <c r="J55" s="546"/>
      <c r="K55" s="546"/>
      <c r="L55" s="546"/>
      <c r="M55" s="546"/>
      <c r="N55" s="546"/>
      <c r="O55" s="546"/>
      <c r="P55" s="546"/>
      <c r="Q55" s="546"/>
      <c r="R55" s="546"/>
      <c r="S55" s="546"/>
      <c r="T55" s="546"/>
      <c r="U55" s="546"/>
    </row>
    <row r="56" spans="1:21">
      <c r="A56" s="546"/>
      <c r="B56" s="546"/>
      <c r="C56" s="546"/>
      <c r="D56" s="546"/>
      <c r="E56" s="546"/>
      <c r="F56" s="546"/>
      <c r="G56" s="546"/>
      <c r="H56" s="546"/>
      <c r="I56" s="546"/>
      <c r="J56" s="546"/>
      <c r="K56" s="546"/>
      <c r="L56" s="546"/>
      <c r="M56" s="546"/>
      <c r="N56" s="546"/>
      <c r="O56" s="546"/>
      <c r="P56" s="546"/>
      <c r="Q56" s="546"/>
      <c r="R56" s="546"/>
      <c r="S56" s="546"/>
      <c r="T56" s="546"/>
      <c r="U56" s="546"/>
    </row>
    <row r="57" spans="1:21">
      <c r="A57" s="546"/>
      <c r="B57" s="546"/>
      <c r="C57" s="546"/>
      <c r="D57" s="546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  <c r="R57" s="546"/>
      <c r="S57" s="546"/>
      <c r="T57" s="546"/>
      <c r="U57" s="546"/>
    </row>
    <row r="58" spans="1:21">
      <c r="A58" s="546"/>
      <c r="B58" s="546"/>
      <c r="C58" s="546"/>
      <c r="D58" s="546"/>
      <c r="E58" s="546"/>
      <c r="F58" s="546"/>
      <c r="G58" s="546"/>
      <c r="H58" s="546"/>
      <c r="I58" s="546"/>
      <c r="J58" s="546"/>
      <c r="K58" s="546"/>
      <c r="L58" s="546"/>
      <c r="M58" s="546"/>
      <c r="N58" s="546"/>
      <c r="O58" s="546"/>
      <c r="P58" s="546"/>
      <c r="Q58" s="546"/>
      <c r="R58" s="546"/>
      <c r="S58" s="546"/>
      <c r="T58" s="546"/>
      <c r="U58" s="546"/>
    </row>
    <row r="59" spans="1:21">
      <c r="A59" s="546"/>
      <c r="B59" s="546"/>
      <c r="C59" s="546"/>
      <c r="D59" s="546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  <c r="R59" s="546"/>
      <c r="S59" s="546"/>
      <c r="T59" s="546"/>
      <c r="U59" s="546"/>
    </row>
    <row r="60" spans="1:21">
      <c r="A60" s="546"/>
      <c r="B60" s="546"/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  <c r="Q60" s="546"/>
      <c r="R60" s="546"/>
      <c r="S60" s="546"/>
      <c r="T60" s="546"/>
      <c r="U60" s="546"/>
    </row>
    <row r="61" spans="1:21">
      <c r="A61" s="546"/>
      <c r="B61" s="546"/>
      <c r="C61" s="546"/>
      <c r="D61" s="546"/>
      <c r="E61" s="546"/>
      <c r="F61" s="546"/>
      <c r="G61" s="546"/>
      <c r="H61" s="546"/>
      <c r="I61" s="546"/>
      <c r="J61" s="546"/>
      <c r="K61" s="546"/>
      <c r="L61" s="546"/>
      <c r="M61" s="546"/>
      <c r="N61" s="546"/>
      <c r="O61" s="546"/>
      <c r="P61" s="546"/>
      <c r="Q61" s="546"/>
      <c r="R61" s="546"/>
      <c r="S61" s="546"/>
      <c r="T61" s="546"/>
      <c r="U61" s="546"/>
    </row>
    <row r="62" spans="1:21">
      <c r="A62" s="546"/>
      <c r="B62" s="546"/>
      <c r="C62" s="546"/>
      <c r="D62" s="546"/>
      <c r="E62" s="546"/>
      <c r="F62" s="546"/>
      <c r="G62" s="546"/>
      <c r="H62" s="546"/>
      <c r="I62" s="546"/>
      <c r="J62" s="546"/>
      <c r="K62" s="546"/>
      <c r="L62" s="546"/>
      <c r="M62" s="546"/>
      <c r="N62" s="546"/>
      <c r="O62" s="546"/>
      <c r="P62" s="546"/>
      <c r="Q62" s="546"/>
      <c r="R62" s="546"/>
      <c r="S62" s="546"/>
      <c r="T62" s="546"/>
      <c r="U62" s="546"/>
    </row>
    <row r="63" spans="1:21">
      <c r="A63" s="546"/>
      <c r="B63" s="546"/>
      <c r="C63" s="546"/>
      <c r="D63" s="546"/>
      <c r="E63" s="546"/>
      <c r="F63" s="546"/>
      <c r="G63" s="546"/>
      <c r="H63" s="546"/>
      <c r="I63" s="546"/>
      <c r="J63" s="546"/>
      <c r="K63" s="546"/>
      <c r="L63" s="546"/>
      <c r="M63" s="546"/>
      <c r="N63" s="546"/>
      <c r="O63" s="546"/>
      <c r="P63" s="546"/>
      <c r="Q63" s="546"/>
      <c r="R63" s="546"/>
      <c r="S63" s="546"/>
      <c r="T63" s="546"/>
      <c r="U63" s="546"/>
    </row>
    <row r="64" spans="1:21">
      <c r="A64" s="546"/>
      <c r="B64" s="546"/>
      <c r="C64" s="546"/>
      <c r="D64" s="546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6"/>
      <c r="S64" s="546"/>
      <c r="T64" s="546"/>
      <c r="U64" s="546"/>
    </row>
    <row r="65" spans="1:21">
      <c r="A65" s="546"/>
      <c r="B65" s="546"/>
      <c r="C65" s="546"/>
      <c r="D65" s="546"/>
      <c r="E65" s="546"/>
      <c r="F65" s="546"/>
      <c r="G65" s="546"/>
      <c r="H65" s="546"/>
      <c r="I65" s="546"/>
      <c r="J65" s="546"/>
      <c r="K65" s="546"/>
      <c r="L65" s="546"/>
      <c r="M65" s="546"/>
      <c r="N65" s="546"/>
      <c r="O65" s="546"/>
      <c r="P65" s="546"/>
      <c r="Q65" s="546"/>
      <c r="R65" s="546"/>
      <c r="S65" s="546"/>
      <c r="T65" s="546"/>
      <c r="U65" s="546"/>
    </row>
    <row r="66" spans="1:21">
      <c r="A66" s="546"/>
      <c r="B66" s="546"/>
      <c r="C66" s="546"/>
      <c r="D66" s="546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6"/>
      <c r="S66" s="546"/>
      <c r="T66" s="546"/>
      <c r="U66" s="546"/>
    </row>
    <row r="67" spans="1:21">
      <c r="A67" s="546"/>
      <c r="B67" s="546"/>
      <c r="C67" s="546"/>
      <c r="D67" s="546"/>
      <c r="E67" s="546"/>
      <c r="F67" s="546"/>
      <c r="G67" s="546"/>
      <c r="H67" s="546"/>
      <c r="I67" s="546"/>
      <c r="J67" s="546"/>
      <c r="K67" s="546"/>
      <c r="L67" s="546"/>
      <c r="M67" s="546"/>
      <c r="N67" s="546"/>
      <c r="O67" s="546"/>
      <c r="P67" s="546"/>
      <c r="Q67" s="546"/>
      <c r="R67" s="546"/>
      <c r="S67" s="546"/>
      <c r="T67" s="546"/>
      <c r="U67" s="546"/>
    </row>
    <row r="68" spans="1:21">
      <c r="A68" s="546"/>
      <c r="B68" s="546"/>
      <c r="C68" s="546"/>
      <c r="D68" s="546"/>
      <c r="E68" s="546"/>
      <c r="F68" s="546"/>
      <c r="G68" s="546"/>
      <c r="H68" s="546"/>
      <c r="I68" s="546"/>
      <c r="J68" s="546"/>
      <c r="K68" s="546"/>
      <c r="L68" s="546"/>
      <c r="M68" s="546"/>
      <c r="N68" s="546"/>
      <c r="O68" s="546"/>
      <c r="P68" s="546"/>
      <c r="Q68" s="546"/>
      <c r="R68" s="546"/>
      <c r="S68" s="546"/>
      <c r="T68" s="546"/>
      <c r="U68" s="546"/>
    </row>
    <row r="69" spans="1:21">
      <c r="A69" s="546"/>
      <c r="B69" s="546"/>
      <c r="C69" s="546"/>
      <c r="D69" s="546"/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546"/>
      <c r="Q69" s="546"/>
      <c r="R69" s="546"/>
      <c r="S69" s="546"/>
      <c r="T69" s="546"/>
      <c r="U69" s="546"/>
    </row>
    <row r="70" spans="1:21">
      <c r="A70" s="546"/>
      <c r="B70" s="546"/>
      <c r="C70" s="546"/>
      <c r="D70" s="546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6"/>
      <c r="S70" s="546"/>
      <c r="T70" s="546"/>
      <c r="U70" s="546"/>
    </row>
    <row r="71" spans="1:21">
      <c r="A71" s="546"/>
      <c r="B71" s="546"/>
      <c r="C71" s="546"/>
      <c r="D71" s="546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6"/>
      <c r="S71" s="546"/>
      <c r="T71" s="546"/>
      <c r="U71" s="546"/>
    </row>
    <row r="72" spans="1:21">
      <c r="A72" s="546"/>
      <c r="B72" s="546"/>
      <c r="C72" s="546"/>
      <c r="D72" s="546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6"/>
      <c r="S72" s="546"/>
      <c r="T72" s="546"/>
      <c r="U72" s="546"/>
    </row>
    <row r="73" spans="1:21">
      <c r="A73" s="546"/>
      <c r="B73" s="546"/>
      <c r="C73" s="546"/>
      <c r="D73" s="546"/>
      <c r="E73" s="546"/>
      <c r="F73" s="546"/>
      <c r="G73" s="546"/>
      <c r="H73" s="546"/>
      <c r="I73" s="546"/>
      <c r="J73" s="546"/>
      <c r="K73" s="546"/>
      <c r="L73" s="546"/>
      <c r="M73" s="546"/>
      <c r="N73" s="546"/>
      <c r="O73" s="546"/>
      <c r="P73" s="546"/>
      <c r="Q73" s="546"/>
      <c r="R73" s="546"/>
      <c r="S73" s="546"/>
      <c r="T73" s="546"/>
      <c r="U73" s="546"/>
    </row>
    <row r="74" spans="1:21">
      <c r="A74" s="546"/>
      <c r="B74" s="546"/>
      <c r="C74" s="546"/>
      <c r="D74" s="546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546"/>
      <c r="R74" s="546"/>
      <c r="S74" s="546"/>
      <c r="T74" s="546"/>
      <c r="U74" s="546"/>
    </row>
    <row r="75" spans="1:21">
      <c r="A75" s="546"/>
      <c r="B75" s="546"/>
      <c r="C75" s="546"/>
      <c r="D75" s="546"/>
      <c r="E75" s="546"/>
      <c r="F75" s="546"/>
      <c r="G75" s="546"/>
      <c r="H75" s="546"/>
      <c r="I75" s="546"/>
      <c r="J75" s="546"/>
      <c r="K75" s="546"/>
      <c r="L75" s="546"/>
      <c r="M75" s="546"/>
      <c r="N75" s="546"/>
      <c r="O75" s="546"/>
      <c r="P75" s="546"/>
      <c r="Q75" s="546"/>
      <c r="R75" s="546"/>
      <c r="S75" s="546"/>
      <c r="T75" s="546"/>
      <c r="U75" s="546"/>
    </row>
    <row r="76" spans="1:21">
      <c r="A76" s="546"/>
      <c r="B76" s="546"/>
      <c r="C76" s="546"/>
      <c r="D76" s="546"/>
      <c r="E76" s="546"/>
      <c r="F76" s="546"/>
      <c r="G76" s="546"/>
      <c r="H76" s="546"/>
      <c r="I76" s="546"/>
      <c r="J76" s="546"/>
      <c r="K76" s="546"/>
      <c r="L76" s="546"/>
      <c r="M76" s="546"/>
      <c r="N76" s="546"/>
      <c r="O76" s="546"/>
      <c r="P76" s="546"/>
      <c r="Q76" s="546"/>
      <c r="R76" s="546"/>
      <c r="S76" s="546"/>
      <c r="T76" s="546"/>
      <c r="U76" s="546"/>
    </row>
    <row r="77" spans="1:21">
      <c r="A77" s="546"/>
      <c r="B77" s="546"/>
      <c r="C77" s="546"/>
      <c r="D77" s="546"/>
      <c r="E77" s="546"/>
      <c r="F77" s="546"/>
      <c r="G77" s="546"/>
      <c r="H77" s="546"/>
      <c r="I77" s="546"/>
      <c r="J77" s="546"/>
      <c r="K77" s="546"/>
      <c r="L77" s="546"/>
      <c r="M77" s="546"/>
      <c r="N77" s="546"/>
      <c r="O77" s="546"/>
      <c r="P77" s="546"/>
      <c r="Q77" s="546"/>
      <c r="R77" s="546"/>
      <c r="S77" s="546"/>
      <c r="T77" s="546"/>
      <c r="U77" s="546"/>
    </row>
    <row r="78" spans="1:21">
      <c r="A78" s="546"/>
      <c r="B78" s="546"/>
      <c r="C78" s="546"/>
      <c r="D78" s="546"/>
      <c r="E78" s="546"/>
      <c r="F78" s="546"/>
      <c r="G78" s="546"/>
      <c r="H78" s="546"/>
      <c r="I78" s="546"/>
      <c r="J78" s="546"/>
      <c r="K78" s="546"/>
      <c r="L78" s="546"/>
      <c r="M78" s="546"/>
      <c r="N78" s="546"/>
      <c r="O78" s="546"/>
      <c r="P78" s="546"/>
      <c r="Q78" s="546"/>
      <c r="R78" s="546"/>
      <c r="S78" s="546"/>
      <c r="T78" s="546"/>
      <c r="U78" s="546"/>
    </row>
    <row r="79" spans="1:21">
      <c r="A79" s="546"/>
      <c r="B79" s="546"/>
      <c r="C79" s="546"/>
      <c r="D79" s="546"/>
      <c r="E79" s="546"/>
      <c r="F79" s="546"/>
      <c r="G79" s="546"/>
      <c r="H79" s="546"/>
      <c r="I79" s="546"/>
      <c r="J79" s="546"/>
      <c r="K79" s="546"/>
      <c r="L79" s="546"/>
      <c r="M79" s="546"/>
      <c r="N79" s="546"/>
      <c r="O79" s="546"/>
      <c r="P79" s="546"/>
      <c r="Q79" s="546"/>
      <c r="R79" s="546"/>
      <c r="S79" s="546"/>
      <c r="T79" s="546"/>
      <c r="U79" s="546"/>
    </row>
    <row r="80" spans="1:21">
      <c r="A80" s="546"/>
      <c r="B80" s="546"/>
      <c r="C80" s="546"/>
      <c r="D80" s="546"/>
      <c r="E80" s="546"/>
      <c r="F80" s="546"/>
      <c r="G80" s="546"/>
      <c r="H80" s="546"/>
      <c r="I80" s="546"/>
      <c r="J80" s="546"/>
      <c r="K80" s="546"/>
      <c r="L80" s="546"/>
      <c r="M80" s="546"/>
      <c r="N80" s="546"/>
      <c r="O80" s="546"/>
      <c r="P80" s="546"/>
      <c r="Q80" s="546"/>
      <c r="R80" s="546"/>
      <c r="S80" s="546"/>
      <c r="T80" s="546"/>
      <c r="U80" s="546"/>
    </row>
    <row r="81" spans="1:21">
      <c r="A81" s="546"/>
      <c r="B81" s="546"/>
      <c r="C81" s="546"/>
      <c r="D81" s="546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6"/>
      <c r="S81" s="546"/>
      <c r="T81" s="546"/>
      <c r="U81" s="546"/>
    </row>
    <row r="82" spans="1:21">
      <c r="A82" s="546"/>
      <c r="B82" s="546"/>
      <c r="C82" s="546"/>
      <c r="D82" s="546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  <c r="P82" s="546"/>
      <c r="Q82" s="546"/>
      <c r="R82" s="546"/>
      <c r="S82" s="546"/>
      <c r="T82" s="546"/>
      <c r="U82" s="546"/>
    </row>
    <row r="83" spans="1:21">
      <c r="A83" s="546"/>
      <c r="B83" s="546"/>
      <c r="C83" s="546"/>
      <c r="D83" s="546"/>
      <c r="E83" s="546"/>
      <c r="F83" s="546"/>
      <c r="G83" s="546"/>
      <c r="H83" s="546"/>
      <c r="I83" s="546"/>
      <c r="J83" s="546"/>
      <c r="K83" s="546"/>
      <c r="L83" s="546"/>
      <c r="M83" s="546"/>
      <c r="N83" s="546"/>
      <c r="O83" s="546"/>
      <c r="P83" s="546"/>
      <c r="Q83" s="546"/>
      <c r="R83" s="546"/>
      <c r="S83" s="546"/>
      <c r="T83" s="546"/>
      <c r="U83" s="546"/>
    </row>
    <row r="84" spans="1:21">
      <c r="A84" s="546"/>
      <c r="B84" s="546"/>
      <c r="C84" s="546"/>
      <c r="D84" s="546"/>
      <c r="E84" s="546"/>
      <c r="F84" s="546"/>
      <c r="G84" s="546"/>
      <c r="H84" s="546"/>
      <c r="I84" s="546"/>
      <c r="J84" s="546"/>
      <c r="K84" s="546"/>
      <c r="L84" s="546"/>
      <c r="M84" s="546"/>
      <c r="N84" s="546"/>
      <c r="O84" s="546"/>
      <c r="P84" s="546"/>
      <c r="Q84" s="546"/>
      <c r="R84" s="546"/>
      <c r="S84" s="546"/>
      <c r="T84" s="546"/>
      <c r="U84" s="546"/>
    </row>
    <row r="85" spans="1:21">
      <c r="A85" s="546"/>
      <c r="B85" s="546"/>
      <c r="C85" s="546"/>
      <c r="D85" s="546"/>
      <c r="E85" s="546"/>
      <c r="F85" s="546"/>
      <c r="G85" s="546"/>
      <c r="H85" s="546"/>
      <c r="I85" s="546"/>
      <c r="J85" s="546"/>
      <c r="K85" s="546"/>
      <c r="L85" s="546"/>
      <c r="M85" s="546"/>
      <c r="N85" s="546"/>
      <c r="O85" s="546"/>
      <c r="P85" s="546"/>
      <c r="Q85" s="546"/>
      <c r="R85" s="546"/>
      <c r="S85" s="546"/>
      <c r="T85" s="546"/>
      <c r="U85" s="546"/>
    </row>
    <row r="86" spans="1:21">
      <c r="A86" s="546"/>
      <c r="B86" s="546"/>
      <c r="C86" s="546"/>
      <c r="D86" s="546"/>
      <c r="E86" s="546"/>
      <c r="F86" s="546"/>
      <c r="G86" s="546"/>
      <c r="H86" s="546"/>
      <c r="I86" s="546"/>
      <c r="J86" s="546"/>
      <c r="K86" s="546"/>
      <c r="L86" s="546"/>
      <c r="M86" s="546"/>
      <c r="N86" s="546"/>
      <c r="O86" s="546"/>
      <c r="P86" s="546"/>
      <c r="Q86" s="546"/>
      <c r="R86" s="546"/>
      <c r="S86" s="546"/>
      <c r="T86" s="546"/>
      <c r="U86" s="546"/>
    </row>
    <row r="87" spans="1:21">
      <c r="A87" s="546"/>
      <c r="B87" s="546"/>
      <c r="C87" s="546"/>
      <c r="D87" s="546"/>
      <c r="E87" s="546"/>
      <c r="F87" s="546"/>
      <c r="G87" s="546"/>
      <c r="H87" s="546"/>
      <c r="I87" s="546"/>
      <c r="J87" s="546"/>
      <c r="K87" s="546"/>
      <c r="L87" s="546"/>
      <c r="M87" s="546"/>
      <c r="N87" s="546"/>
      <c r="O87" s="546"/>
      <c r="P87" s="546"/>
      <c r="Q87" s="546"/>
      <c r="R87" s="546"/>
      <c r="S87" s="546"/>
      <c r="T87" s="546"/>
      <c r="U87" s="546"/>
    </row>
    <row r="88" spans="1:21">
      <c r="A88" s="546"/>
      <c r="B88" s="546"/>
      <c r="C88" s="546"/>
      <c r="D88" s="546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6"/>
      <c r="S88" s="546"/>
      <c r="T88" s="546"/>
      <c r="U88" s="546"/>
    </row>
    <row r="89" spans="1:21">
      <c r="A89" s="546"/>
      <c r="B89" s="546"/>
      <c r="C89" s="546"/>
      <c r="D89" s="546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546"/>
      <c r="P89" s="546"/>
      <c r="Q89" s="546"/>
      <c r="R89" s="546"/>
      <c r="S89" s="546"/>
      <c r="T89" s="546"/>
      <c r="U89" s="546"/>
    </row>
    <row r="90" spans="1:21">
      <c r="A90" s="546"/>
      <c r="B90" s="546"/>
      <c r="C90" s="546"/>
      <c r="D90" s="546"/>
      <c r="E90" s="546"/>
      <c r="F90" s="546"/>
      <c r="G90" s="546"/>
      <c r="H90" s="546"/>
      <c r="I90" s="546"/>
      <c r="J90" s="546"/>
      <c r="K90" s="546"/>
      <c r="L90" s="546"/>
      <c r="M90" s="546"/>
      <c r="N90" s="546"/>
      <c r="O90" s="546"/>
      <c r="P90" s="546"/>
      <c r="Q90" s="546"/>
      <c r="R90" s="546"/>
      <c r="S90" s="546"/>
      <c r="T90" s="546"/>
      <c r="U90" s="546"/>
    </row>
    <row r="91" spans="1:21">
      <c r="A91" s="546"/>
      <c r="B91" s="546"/>
      <c r="C91" s="546"/>
      <c r="D91" s="546"/>
      <c r="E91" s="546"/>
      <c r="F91" s="546"/>
      <c r="G91" s="546"/>
      <c r="H91" s="546"/>
      <c r="I91" s="546"/>
      <c r="J91" s="546"/>
      <c r="K91" s="546"/>
      <c r="L91" s="546"/>
      <c r="M91" s="546"/>
      <c r="N91" s="546"/>
      <c r="O91" s="546"/>
      <c r="P91" s="546"/>
      <c r="Q91" s="546"/>
      <c r="R91" s="546"/>
      <c r="S91" s="546"/>
      <c r="T91" s="546"/>
      <c r="U91" s="546"/>
    </row>
    <row r="92" spans="1:21">
      <c r="A92" s="546"/>
      <c r="B92" s="546"/>
      <c r="C92" s="546"/>
      <c r="D92" s="546"/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</row>
    <row r="93" spans="1:21">
      <c r="A93" s="546"/>
      <c r="B93" s="546"/>
      <c r="C93" s="546"/>
      <c r="D93" s="546"/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</row>
    <row r="94" spans="1:21">
      <c r="A94" s="546"/>
      <c r="B94" s="546"/>
      <c r="C94" s="546"/>
      <c r="D94" s="546"/>
      <c r="E94" s="546"/>
      <c r="F94" s="546"/>
      <c r="G94" s="546"/>
      <c r="H94" s="546"/>
      <c r="I94" s="546"/>
      <c r="J94" s="546"/>
      <c r="K94" s="546"/>
      <c r="L94" s="546"/>
      <c r="M94" s="546"/>
      <c r="N94" s="546"/>
      <c r="O94" s="546"/>
      <c r="P94" s="546"/>
      <c r="Q94" s="546"/>
      <c r="R94" s="546"/>
      <c r="S94" s="546"/>
      <c r="T94" s="546"/>
      <c r="U94" s="546"/>
    </row>
    <row r="95" spans="1:21">
      <c r="A95" s="546"/>
      <c r="B95" s="546"/>
      <c r="C95" s="546"/>
      <c r="D95" s="546"/>
      <c r="E95" s="546"/>
      <c r="F95" s="546"/>
      <c r="G95" s="546"/>
      <c r="H95" s="546"/>
      <c r="I95" s="546"/>
      <c r="J95" s="546"/>
      <c r="K95" s="546"/>
      <c r="L95" s="546"/>
      <c r="M95" s="546"/>
      <c r="N95" s="546"/>
      <c r="O95" s="546"/>
      <c r="P95" s="546"/>
      <c r="Q95" s="546"/>
      <c r="R95" s="546"/>
      <c r="S95" s="546"/>
      <c r="T95" s="546"/>
      <c r="U95" s="546"/>
    </row>
    <row r="96" spans="1:21">
      <c r="A96" s="546"/>
      <c r="B96" s="546"/>
      <c r="C96" s="546"/>
      <c r="D96" s="546"/>
      <c r="E96" s="546"/>
      <c r="F96" s="546"/>
      <c r="G96" s="546"/>
      <c r="H96" s="546"/>
      <c r="I96" s="546"/>
      <c r="J96" s="546"/>
      <c r="K96" s="546"/>
      <c r="L96" s="546"/>
      <c r="M96" s="546"/>
      <c r="N96" s="546"/>
      <c r="O96" s="546"/>
      <c r="P96" s="546"/>
      <c r="Q96" s="546"/>
      <c r="R96" s="546"/>
      <c r="S96" s="546"/>
      <c r="T96" s="546"/>
      <c r="U96" s="546"/>
    </row>
    <row r="97" spans="1:21">
      <c r="A97" s="546"/>
      <c r="B97" s="546"/>
      <c r="C97" s="546"/>
      <c r="D97" s="546"/>
      <c r="E97" s="546"/>
      <c r="F97" s="546"/>
      <c r="G97" s="546"/>
      <c r="H97" s="546"/>
      <c r="I97" s="546"/>
      <c r="J97" s="546"/>
      <c r="K97" s="546"/>
      <c r="L97" s="546"/>
      <c r="M97" s="546"/>
      <c r="N97" s="546"/>
      <c r="O97" s="546"/>
      <c r="P97" s="546"/>
      <c r="Q97" s="546"/>
      <c r="R97" s="546"/>
      <c r="S97" s="546"/>
      <c r="T97" s="546"/>
      <c r="U97" s="546"/>
    </row>
    <row r="98" spans="1:21">
      <c r="A98" s="546"/>
      <c r="B98" s="546"/>
      <c r="C98" s="546"/>
      <c r="D98" s="546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546"/>
      <c r="P98" s="546"/>
      <c r="Q98" s="546"/>
      <c r="R98" s="546"/>
      <c r="S98" s="546"/>
      <c r="T98" s="546"/>
      <c r="U98" s="546"/>
    </row>
    <row r="99" spans="1:21">
      <c r="A99" s="546"/>
      <c r="B99" s="546"/>
      <c r="C99" s="546"/>
      <c r="D99" s="546"/>
      <c r="E99" s="546"/>
      <c r="F99" s="546"/>
      <c r="G99" s="546"/>
      <c r="H99" s="546"/>
      <c r="I99" s="546"/>
      <c r="J99" s="546"/>
      <c r="K99" s="546"/>
      <c r="L99" s="546"/>
      <c r="M99" s="546"/>
      <c r="N99" s="546"/>
      <c r="O99" s="546"/>
      <c r="P99" s="546"/>
      <c r="Q99" s="546"/>
      <c r="R99" s="546"/>
      <c r="S99" s="546"/>
      <c r="T99" s="546"/>
      <c r="U99" s="546"/>
    </row>
    <row r="100" spans="1:21">
      <c r="A100" s="546"/>
      <c r="B100" s="546"/>
      <c r="C100" s="546"/>
      <c r="D100" s="546"/>
      <c r="E100" s="546"/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R100" s="546"/>
      <c r="S100" s="546"/>
      <c r="T100" s="546"/>
      <c r="U100" s="546"/>
    </row>
    <row r="101" spans="1:21">
      <c r="A101" s="546"/>
      <c r="B101" s="546"/>
      <c r="C101" s="546"/>
      <c r="D101" s="546"/>
      <c r="E101" s="546"/>
      <c r="F101" s="546"/>
      <c r="G101" s="546"/>
      <c r="H101" s="546"/>
      <c r="I101" s="546"/>
      <c r="J101" s="546"/>
      <c r="K101" s="546"/>
      <c r="L101" s="546"/>
      <c r="M101" s="546"/>
      <c r="N101" s="546"/>
      <c r="O101" s="546"/>
      <c r="P101" s="546"/>
      <c r="Q101" s="546"/>
      <c r="R101" s="546"/>
      <c r="S101" s="546"/>
      <c r="T101" s="546"/>
      <c r="U101" s="546"/>
    </row>
    <row r="102" spans="1:21">
      <c r="A102" s="546"/>
      <c r="B102" s="546"/>
      <c r="C102" s="546"/>
      <c r="D102" s="546"/>
      <c r="E102" s="546"/>
      <c r="F102" s="546"/>
      <c r="G102" s="546"/>
      <c r="H102" s="546"/>
      <c r="I102" s="546"/>
      <c r="J102" s="546"/>
      <c r="K102" s="546"/>
      <c r="L102" s="546"/>
      <c r="M102" s="546"/>
      <c r="N102" s="546"/>
      <c r="O102" s="546"/>
      <c r="P102" s="546"/>
      <c r="Q102" s="546"/>
      <c r="R102" s="546"/>
      <c r="S102" s="546"/>
      <c r="T102" s="546"/>
      <c r="U102" s="546"/>
    </row>
    <row r="103" spans="1:21">
      <c r="A103" s="546"/>
      <c r="B103" s="546"/>
      <c r="C103" s="546"/>
      <c r="D103" s="546"/>
      <c r="E103" s="546"/>
      <c r="F103" s="546"/>
      <c r="G103" s="546"/>
      <c r="H103" s="546"/>
      <c r="I103" s="546"/>
      <c r="J103" s="546"/>
      <c r="K103" s="546"/>
      <c r="L103" s="546"/>
      <c r="M103" s="546"/>
      <c r="N103" s="546"/>
      <c r="O103" s="546"/>
      <c r="P103" s="546"/>
      <c r="Q103" s="546"/>
      <c r="R103" s="546"/>
      <c r="S103" s="546"/>
      <c r="T103" s="546"/>
      <c r="U103" s="546"/>
    </row>
    <row r="104" spans="1:21">
      <c r="A104" s="546"/>
      <c r="B104" s="546"/>
      <c r="C104" s="546"/>
      <c r="D104" s="546"/>
      <c r="E104" s="546"/>
      <c r="F104" s="546"/>
      <c r="G104" s="546"/>
      <c r="H104" s="546"/>
      <c r="I104" s="546"/>
      <c r="J104" s="546"/>
      <c r="K104" s="546"/>
      <c r="L104" s="546"/>
      <c r="M104" s="546"/>
      <c r="N104" s="546"/>
      <c r="O104" s="546"/>
      <c r="P104" s="546"/>
      <c r="Q104" s="546"/>
      <c r="R104" s="546"/>
      <c r="S104" s="546"/>
      <c r="T104" s="546"/>
      <c r="U104" s="546"/>
    </row>
    <row r="105" spans="1:21">
      <c r="A105" s="546"/>
      <c r="B105" s="546"/>
      <c r="C105" s="546"/>
      <c r="D105" s="546"/>
      <c r="E105" s="546"/>
      <c r="F105" s="546"/>
      <c r="G105" s="546"/>
      <c r="H105" s="546"/>
      <c r="I105" s="546"/>
      <c r="J105" s="546"/>
      <c r="K105" s="546"/>
      <c r="L105" s="546"/>
      <c r="M105" s="546"/>
      <c r="N105" s="546"/>
      <c r="O105" s="546"/>
      <c r="P105" s="546"/>
      <c r="Q105" s="546"/>
      <c r="R105" s="546"/>
      <c r="S105" s="546"/>
      <c r="T105" s="546"/>
      <c r="U105" s="546"/>
    </row>
    <row r="106" spans="1:21">
      <c r="A106" s="546"/>
      <c r="B106" s="546"/>
      <c r="C106" s="546"/>
      <c r="D106" s="546"/>
      <c r="E106" s="546"/>
      <c r="F106" s="546"/>
      <c r="G106" s="546"/>
      <c r="H106" s="546"/>
      <c r="I106" s="546"/>
      <c r="J106" s="546"/>
      <c r="K106" s="546"/>
      <c r="L106" s="546"/>
      <c r="M106" s="546"/>
      <c r="N106" s="546"/>
      <c r="O106" s="546"/>
      <c r="P106" s="546"/>
      <c r="Q106" s="546"/>
      <c r="R106" s="546"/>
      <c r="S106" s="546"/>
      <c r="T106" s="546"/>
      <c r="U106" s="546"/>
    </row>
    <row r="107" spans="1:21">
      <c r="A107" s="546"/>
      <c r="B107" s="546"/>
      <c r="C107" s="546"/>
      <c r="D107" s="546"/>
      <c r="E107" s="546"/>
      <c r="F107" s="546"/>
      <c r="G107" s="546"/>
      <c r="H107" s="546"/>
      <c r="I107" s="546"/>
      <c r="J107" s="546"/>
      <c r="K107" s="546"/>
      <c r="L107" s="546"/>
      <c r="M107" s="546"/>
      <c r="N107" s="546"/>
      <c r="O107" s="546"/>
      <c r="P107" s="546"/>
      <c r="Q107" s="546"/>
      <c r="R107" s="546"/>
      <c r="S107" s="546"/>
      <c r="T107" s="546"/>
      <c r="U107" s="546"/>
    </row>
    <row r="108" spans="1:21">
      <c r="A108" s="546"/>
      <c r="B108" s="546"/>
      <c r="C108" s="546"/>
      <c r="D108" s="546"/>
      <c r="E108" s="546"/>
      <c r="F108" s="546"/>
      <c r="G108" s="546"/>
      <c r="H108" s="546"/>
      <c r="I108" s="546"/>
      <c r="J108" s="546"/>
      <c r="K108" s="546"/>
      <c r="L108" s="546"/>
      <c r="M108" s="546"/>
      <c r="N108" s="546"/>
      <c r="O108" s="546"/>
      <c r="P108" s="546"/>
      <c r="Q108" s="546"/>
      <c r="R108" s="546"/>
      <c r="S108" s="546"/>
      <c r="T108" s="546"/>
      <c r="U108" s="546"/>
    </row>
    <row r="109" spans="1:21">
      <c r="A109" s="546"/>
      <c r="B109" s="546"/>
      <c r="C109" s="546"/>
      <c r="D109" s="546"/>
      <c r="E109" s="546"/>
      <c r="F109" s="546"/>
      <c r="G109" s="546"/>
      <c r="H109" s="546"/>
      <c r="I109" s="546"/>
      <c r="J109" s="546"/>
      <c r="K109" s="546"/>
      <c r="L109" s="546"/>
      <c r="M109" s="546"/>
      <c r="N109" s="546"/>
      <c r="O109" s="546"/>
      <c r="P109" s="546"/>
      <c r="Q109" s="546"/>
      <c r="R109" s="546"/>
      <c r="S109" s="546"/>
      <c r="T109" s="546"/>
      <c r="U109" s="546"/>
    </row>
  </sheetData>
  <sheetProtection algorithmName="SHA-512" hashValue="Qk95he3pDtuQtzVCffBe+t+FOpGw4ymZWyl9Ga6rhdNxah9IRjK+HfLLH4KBn7ADmjHkd0PJ3IAc4pubc54xVw==" saltValue="rEG7d66w00PDlzuA7tc8kw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D262"/>
  <sheetViews>
    <sheetView zoomScaleNormal="100" workbookViewId="0">
      <pane xSplit="5" ySplit="3" topLeftCell="F159" activePane="bottomRight" state="frozen"/>
      <selection pane="bottomRight" activeCell="C161" sqref="C161"/>
      <selection pane="bottomLeft" activeCell="A4" sqref="A4"/>
      <selection pane="topRight" activeCell="F1" sqref="F1"/>
    </sheetView>
  </sheetViews>
  <sheetFormatPr defaultColWidth="17.28515625" defaultRowHeight="15"/>
  <cols>
    <col min="1" max="1" width="30.5703125" style="16" customWidth="1"/>
    <col min="2" max="2" width="64" style="16" customWidth="1"/>
    <col min="3" max="3" width="12.42578125" style="16" customWidth="1"/>
    <col min="4" max="4" width="6.7109375" style="16" customWidth="1"/>
    <col min="5" max="5" width="13.5703125" style="16" customWidth="1"/>
    <col min="6" max="6" width="11.85546875" style="16" customWidth="1"/>
    <col min="7" max="7" width="16.42578125" style="16" customWidth="1"/>
    <col min="8" max="8" width="10.140625" style="16" customWidth="1"/>
    <col min="9" max="9" width="19.42578125" style="16" customWidth="1"/>
    <col min="10" max="10" width="14" style="16" customWidth="1"/>
    <col min="11" max="11" width="8.28515625" style="16" hidden="1" customWidth="1"/>
    <col min="12" max="12" width="15.28515625" style="16" customWidth="1"/>
    <col min="13" max="13" width="20.42578125" style="16" customWidth="1"/>
    <col min="14" max="14" width="17.85546875" style="16" customWidth="1"/>
    <col min="15" max="15" width="27.140625" style="16" customWidth="1"/>
    <col min="16" max="16" width="12" style="16" customWidth="1"/>
    <col min="17" max="18" width="0" style="16" hidden="1" customWidth="1"/>
    <col min="19" max="19" width="13" style="16" hidden="1" customWidth="1"/>
    <col min="20" max="20" width="8.85546875" style="16" customWidth="1"/>
    <col min="21" max="21" width="38.7109375" style="16" customWidth="1"/>
    <col min="22" max="22" width="17.5703125" style="16" customWidth="1"/>
    <col min="23" max="23" width="47.42578125" style="16" customWidth="1"/>
    <col min="24" max="24" width="17.28515625" style="16"/>
    <col min="25" max="25" width="22" style="147" customWidth="1"/>
    <col min="26" max="26" width="19.28515625" style="16" customWidth="1"/>
    <col min="27" max="27" width="17.28515625" style="16"/>
    <col min="28" max="28" width="45.28515625" style="16" customWidth="1"/>
    <col min="29" max="16384" width="17.28515625" style="16"/>
  </cols>
  <sheetData>
    <row r="1" spans="1:28" ht="29.25" customHeight="1">
      <c r="A1" s="5" t="s">
        <v>58</v>
      </c>
      <c r="B1" s="6" t="s">
        <v>59</v>
      </c>
      <c r="C1" s="7" t="s">
        <v>60</v>
      </c>
      <c r="D1" s="95" t="s">
        <v>61</v>
      </c>
      <c r="E1" s="8" t="s">
        <v>62</v>
      </c>
      <c r="F1" s="7" t="s">
        <v>63</v>
      </c>
      <c r="G1" s="730" t="s">
        <v>64</v>
      </c>
      <c r="H1" s="732" t="s">
        <v>65</v>
      </c>
      <c r="I1" s="71" t="s">
        <v>66</v>
      </c>
      <c r="J1" s="734" t="s">
        <v>67</v>
      </c>
      <c r="K1" s="9" t="s">
        <v>68</v>
      </c>
      <c r="L1" s="10" t="s">
        <v>69</v>
      </c>
      <c r="M1" s="74" t="s">
        <v>70</v>
      </c>
      <c r="N1" s="11" t="s">
        <v>71</v>
      </c>
      <c r="O1" s="12" t="s">
        <v>68</v>
      </c>
      <c r="P1" s="499" t="s">
        <v>72</v>
      </c>
      <c r="Q1" s="15" t="s">
        <v>73</v>
      </c>
      <c r="R1" s="14" t="s">
        <v>74</v>
      </c>
      <c r="S1" s="13" t="s">
        <v>73</v>
      </c>
      <c r="T1" s="15" t="s">
        <v>75</v>
      </c>
      <c r="U1" s="13" t="s">
        <v>76</v>
      </c>
      <c r="V1" s="13" t="s">
        <v>77</v>
      </c>
      <c r="W1" s="16" t="s">
        <v>78</v>
      </c>
      <c r="X1" s="16" t="s">
        <v>79</v>
      </c>
      <c r="Y1" s="147" t="s">
        <v>80</v>
      </c>
      <c r="Z1" s="180" t="s">
        <v>81</v>
      </c>
      <c r="AA1" s="376" t="s">
        <v>82</v>
      </c>
      <c r="AB1" s="376"/>
    </row>
    <row r="2" spans="1:28" ht="24.75" customHeight="1" thickBot="1">
      <c r="A2" s="17" t="s">
        <v>83</v>
      </c>
      <c r="B2" s="18"/>
      <c r="C2" s="18"/>
      <c r="D2" s="19" t="s">
        <v>84</v>
      </c>
      <c r="E2" s="20" t="s">
        <v>85</v>
      </c>
      <c r="F2" s="19" t="s">
        <v>86</v>
      </c>
      <c r="G2" s="731"/>
      <c r="H2" s="733"/>
      <c r="I2" s="73" t="s">
        <v>87</v>
      </c>
      <c r="J2" s="735"/>
      <c r="K2" s="21" t="s">
        <v>88</v>
      </c>
      <c r="L2" s="22" t="s">
        <v>89</v>
      </c>
      <c r="M2" s="75" t="s">
        <v>90</v>
      </c>
      <c r="N2" s="23" t="s">
        <v>89</v>
      </c>
      <c r="O2" s="24" t="s">
        <v>91</v>
      </c>
      <c r="P2" s="500" t="s">
        <v>92</v>
      </c>
      <c r="Q2" s="27" t="s">
        <v>93</v>
      </c>
      <c r="R2" s="26" t="s">
        <v>93</v>
      </c>
      <c r="S2" s="25" t="s">
        <v>94</v>
      </c>
      <c r="T2" s="27" t="s">
        <v>95</v>
      </c>
      <c r="U2" s="28"/>
      <c r="V2" s="28"/>
      <c r="Z2" s="179"/>
      <c r="AA2" s="377"/>
      <c r="AB2" s="381" t="s">
        <v>96</v>
      </c>
    </row>
    <row r="3" spans="1:28" ht="15.75" thickBot="1">
      <c r="A3" s="231" t="str">
        <f>IF(B$3 =1, "Units", "Acres")</f>
        <v>Acres</v>
      </c>
      <c r="B3" s="232">
        <v>0</v>
      </c>
      <c r="C3" s="233"/>
      <c r="D3" s="234" t="s">
        <v>97</v>
      </c>
      <c r="E3" s="235"/>
      <c r="F3" s="236"/>
      <c r="G3" s="94" t="str">
        <f>IF(B$3 =1, "Acres", "Units")</f>
        <v>Units</v>
      </c>
      <c r="H3" s="72" t="str">
        <f>+A3</f>
        <v>Acres</v>
      </c>
      <c r="I3" s="74" t="s">
        <v>98</v>
      </c>
      <c r="J3" s="72" t="s">
        <v>13</v>
      </c>
      <c r="K3" s="72" t="s">
        <v>99</v>
      </c>
      <c r="L3" s="72" t="s">
        <v>12</v>
      </c>
      <c r="M3" s="90" t="s">
        <v>98</v>
      </c>
      <c r="N3" s="72" t="s">
        <v>13</v>
      </c>
      <c r="O3" s="91"/>
      <c r="P3" s="501"/>
      <c r="Q3" s="497"/>
      <c r="R3" s="29"/>
      <c r="S3" s="30"/>
      <c r="T3" s="31"/>
      <c r="U3" s="28"/>
      <c r="V3" s="28"/>
    </row>
    <row r="4" spans="1:28" s="36" customFormat="1" thickBot="1">
      <c r="A4" s="217" t="s">
        <v>100</v>
      </c>
      <c r="B4" s="241" t="s">
        <v>101</v>
      </c>
      <c r="C4" s="241">
        <v>2.9</v>
      </c>
      <c r="D4" s="78" t="s">
        <v>102</v>
      </c>
      <c r="E4" s="214">
        <v>0</v>
      </c>
      <c r="F4" s="242">
        <v>0.26419999999999999</v>
      </c>
      <c r="G4" s="229">
        <f t="shared" ref="G4:G5" si="0">IF(B$3 =1, H4*C4, H4/C4)</f>
        <v>0</v>
      </c>
      <c r="H4" s="123">
        <v>0</v>
      </c>
      <c r="I4" s="126">
        <f t="shared" ref="I4:I5" si="1">IF(B$3 = 1, H4*E4, (H4/C4) *E4)</f>
        <v>0</v>
      </c>
      <c r="J4" s="124">
        <f>IF($B$3 =1, H4*F4, (H4/C4) *F4)</f>
        <v>0</v>
      </c>
      <c r="K4" s="92"/>
      <c r="L4" s="70"/>
      <c r="M4" s="97"/>
      <c r="N4" s="69"/>
      <c r="O4" s="86"/>
      <c r="P4" s="498"/>
      <c r="Q4" s="82"/>
      <c r="R4" s="32"/>
      <c r="S4" s="33"/>
      <c r="T4" s="34"/>
      <c r="U4" s="35" t="s">
        <v>103</v>
      </c>
      <c r="V4" s="35" t="s">
        <v>104</v>
      </c>
      <c r="X4" s="36" t="s">
        <v>105</v>
      </c>
      <c r="Y4" s="147" t="s">
        <v>106</v>
      </c>
    </row>
    <row r="5" spans="1:28" s="36" customFormat="1" ht="15.75" thickTop="1" thickBot="1">
      <c r="A5" s="217" t="s">
        <v>100</v>
      </c>
      <c r="B5" s="241" t="s">
        <v>107</v>
      </c>
      <c r="C5" s="241">
        <v>11</v>
      </c>
      <c r="D5" s="78" t="s">
        <v>108</v>
      </c>
      <c r="E5" s="243">
        <v>0</v>
      </c>
      <c r="F5" s="215">
        <v>1</v>
      </c>
      <c r="G5" s="229">
        <f t="shared" si="0"/>
        <v>0</v>
      </c>
      <c r="H5" s="123">
        <v>0</v>
      </c>
      <c r="I5" s="126">
        <f t="shared" si="1"/>
        <v>0</v>
      </c>
      <c r="J5" s="124">
        <f>IF($B$3 =1, H5*F5, (H5/C5) *F5)</f>
        <v>0</v>
      </c>
      <c r="K5" s="92"/>
      <c r="L5" s="70">
        <f>IF( $B$3 = 1,  SUM(G4:G5), SUM(H4:H5) )</f>
        <v>0</v>
      </c>
      <c r="M5" s="97">
        <f>SUM(I4:I5)</f>
        <v>0</v>
      </c>
      <c r="N5" s="69">
        <f>SUM(J4:J5)</f>
        <v>0</v>
      </c>
      <c r="O5" s="86" t="str">
        <f>+A5</f>
        <v>ADMIRE</v>
      </c>
      <c r="P5" s="148"/>
      <c r="Q5" s="83"/>
      <c r="R5" s="38"/>
      <c r="S5" s="39"/>
      <c r="T5" s="34"/>
      <c r="U5" s="35" t="s">
        <v>103</v>
      </c>
      <c r="V5" s="35" t="s">
        <v>104</v>
      </c>
      <c r="X5" s="36" t="s">
        <v>105</v>
      </c>
      <c r="Y5" s="147" t="s">
        <v>109</v>
      </c>
    </row>
    <row r="6" spans="1:28" s="36" customFormat="1" ht="15.75" thickTop="1" thickBot="1">
      <c r="A6" s="217" t="s">
        <v>110</v>
      </c>
      <c r="B6" s="241" t="s">
        <v>111</v>
      </c>
      <c r="C6" s="78">
        <v>1</v>
      </c>
      <c r="D6" s="78" t="s">
        <v>108</v>
      </c>
      <c r="E6" s="243">
        <v>0</v>
      </c>
      <c r="F6" s="215">
        <v>1</v>
      </c>
      <c r="G6" s="230">
        <v>0</v>
      </c>
      <c r="H6" s="123">
        <v>0</v>
      </c>
      <c r="I6" s="126">
        <f>+E6*H6</f>
        <v>0</v>
      </c>
      <c r="J6" s="125">
        <f>+F6*H6</f>
        <v>0</v>
      </c>
      <c r="K6" s="77"/>
      <c r="L6" s="70">
        <f>+G6</f>
        <v>0</v>
      </c>
      <c r="M6" s="97">
        <f>+I6</f>
        <v>0</v>
      </c>
      <c r="N6" s="69">
        <f>+J6</f>
        <v>0</v>
      </c>
      <c r="O6" s="86" t="str">
        <f>+A6</f>
        <v>ALIETTE</v>
      </c>
      <c r="P6" s="87"/>
      <c r="Q6" s="83"/>
      <c r="R6" s="38"/>
      <c r="S6" s="39"/>
      <c r="T6" s="34"/>
      <c r="U6" s="35" t="s">
        <v>103</v>
      </c>
      <c r="V6" s="35" t="s">
        <v>104</v>
      </c>
      <c r="X6" s="36" t="s">
        <v>112</v>
      </c>
      <c r="Y6" s="147" t="s">
        <v>113</v>
      </c>
    </row>
    <row r="7" spans="1:28" s="36" customFormat="1" ht="15.75" thickTop="1" thickBot="1">
      <c r="A7" s="217" t="s">
        <v>114</v>
      </c>
      <c r="B7" s="241" t="s">
        <v>115</v>
      </c>
      <c r="C7" s="78">
        <v>1</v>
      </c>
      <c r="D7" s="78" t="s">
        <v>108</v>
      </c>
      <c r="E7" s="243">
        <v>0</v>
      </c>
      <c r="F7" s="215">
        <v>1</v>
      </c>
      <c r="G7" s="230">
        <v>0</v>
      </c>
      <c r="H7" s="123">
        <v>0</v>
      </c>
      <c r="I7" s="126">
        <f>+E7*H7</f>
        <v>0</v>
      </c>
      <c r="J7" s="125">
        <f>+F7*H7</f>
        <v>0</v>
      </c>
      <c r="K7" s="77"/>
      <c r="L7" s="70">
        <f>+G7</f>
        <v>0</v>
      </c>
      <c r="M7" s="97">
        <f>+I7</f>
        <v>0</v>
      </c>
      <c r="N7" s="69">
        <f>+J7</f>
        <v>0</v>
      </c>
      <c r="O7" s="86" t="str">
        <f>+A7</f>
        <v>BETAMIX B</v>
      </c>
      <c r="P7" s="87"/>
      <c r="Q7" s="83"/>
      <c r="R7" s="38"/>
      <c r="S7" s="39"/>
      <c r="T7" s="34"/>
      <c r="U7" s="35" t="s">
        <v>103</v>
      </c>
      <c r="V7" s="35" t="s">
        <v>104</v>
      </c>
      <c r="X7" s="36" t="s">
        <v>112</v>
      </c>
      <c r="Y7" s="147" t="s">
        <v>116</v>
      </c>
    </row>
    <row r="8" spans="1:28" ht="16.5" thickTop="1" thickBot="1">
      <c r="A8" s="226" t="s">
        <v>117</v>
      </c>
      <c r="B8" s="78" t="s">
        <v>118</v>
      </c>
      <c r="C8" s="78">
        <v>20</v>
      </c>
      <c r="D8" s="78" t="s">
        <v>108</v>
      </c>
      <c r="E8" s="243">
        <v>0</v>
      </c>
      <c r="F8" s="215">
        <v>1</v>
      </c>
      <c r="G8" s="230">
        <f>IF(B$3 =1, H8*C8, H8/C8)</f>
        <v>0</v>
      </c>
      <c r="H8" s="68">
        <v>0</v>
      </c>
      <c r="I8" s="200">
        <f>IF(B$3 = 1, H8*E8, (H8/C8) *E8)</f>
        <v>0</v>
      </c>
      <c r="J8" s="76">
        <f>IF($B$3 =1, H8*F8, (H8/C8) *F8)</f>
        <v>0</v>
      </c>
      <c r="K8" s="78"/>
      <c r="L8" s="70" t="s">
        <v>119</v>
      </c>
      <c r="M8" s="97" t="s">
        <v>119</v>
      </c>
      <c r="N8" s="69" t="s">
        <v>119</v>
      </c>
      <c r="O8" s="86" t="s">
        <v>119</v>
      </c>
      <c r="P8" s="148"/>
      <c r="Q8" s="84"/>
      <c r="R8" s="41"/>
      <c r="S8" s="42"/>
      <c r="T8" s="43"/>
      <c r="U8" s="35" t="s">
        <v>103</v>
      </c>
      <c r="V8" s="35" t="s">
        <v>104</v>
      </c>
      <c r="X8" s="36" t="s">
        <v>112</v>
      </c>
      <c r="Y8" s="147" t="s">
        <v>120</v>
      </c>
    </row>
    <row r="9" spans="1:28" ht="16.5" thickTop="1" thickBot="1">
      <c r="A9" s="226" t="s">
        <v>117</v>
      </c>
      <c r="B9" s="78" t="s">
        <v>121</v>
      </c>
      <c r="C9" s="78">
        <v>320</v>
      </c>
      <c r="D9" s="78" t="s">
        <v>102</v>
      </c>
      <c r="E9" s="243">
        <v>0</v>
      </c>
      <c r="F9" s="215">
        <v>16</v>
      </c>
      <c r="G9" s="230">
        <f t="shared" ref="G9:G49" si="2">IF(B$3 =1, H9*C9, H9/C9)</f>
        <v>0</v>
      </c>
      <c r="H9" s="68">
        <v>0</v>
      </c>
      <c r="I9" s="96">
        <f t="shared" ref="I9:I49" si="3">IF(B$3 = 1, H9*E9, (H9/C9) *E9)</f>
        <v>0</v>
      </c>
      <c r="J9" s="76">
        <f>IF($B$3 =1, H9*F9, (H9/C9) *F9)</f>
        <v>0</v>
      </c>
      <c r="K9" s="78"/>
      <c r="L9" s="70"/>
      <c r="M9" s="97"/>
      <c r="N9" s="69"/>
      <c r="O9" s="86"/>
      <c r="P9" s="148"/>
      <c r="Q9" s="84"/>
      <c r="R9" s="41"/>
      <c r="S9" s="42"/>
      <c r="T9" s="43"/>
      <c r="U9" s="35" t="s">
        <v>103</v>
      </c>
      <c r="V9" s="35" t="s">
        <v>104</v>
      </c>
      <c r="X9" s="36" t="s">
        <v>112</v>
      </c>
      <c r="Y9" s="147" t="s">
        <v>122</v>
      </c>
    </row>
    <row r="10" spans="1:28" ht="16.5" thickTop="1" thickBot="1">
      <c r="A10" s="226" t="s">
        <v>117</v>
      </c>
      <c r="B10" s="78" t="s">
        <v>123</v>
      </c>
      <c r="C10" s="78">
        <v>1000</v>
      </c>
      <c r="D10" s="78" t="s">
        <v>102</v>
      </c>
      <c r="E10" s="243">
        <v>0</v>
      </c>
      <c r="F10" s="215">
        <v>50</v>
      </c>
      <c r="G10" s="230">
        <f t="shared" si="2"/>
        <v>0</v>
      </c>
      <c r="H10" s="68">
        <v>0</v>
      </c>
      <c r="I10" s="96">
        <f t="shared" si="3"/>
        <v>0</v>
      </c>
      <c r="J10" s="76">
        <f>IF($B$3 =1, H10*F10, (H10/C10) *F10)</f>
        <v>0</v>
      </c>
      <c r="K10" s="78"/>
      <c r="L10" s="70">
        <f>IF( $B$3 = 1,  SUM(G8:G10), SUM(H8:H10) )</f>
        <v>0</v>
      </c>
      <c r="M10" s="97">
        <f>SUM(I8:I10)</f>
        <v>0</v>
      </c>
      <c r="N10" s="69">
        <f>SUM(J8:J10)</f>
        <v>0</v>
      </c>
      <c r="O10" s="86" t="s">
        <v>117</v>
      </c>
      <c r="P10" s="148"/>
      <c r="Q10" s="84"/>
      <c r="R10" s="41"/>
      <c r="S10" s="42"/>
      <c r="T10" s="43"/>
      <c r="U10" s="35" t="s">
        <v>103</v>
      </c>
      <c r="V10" s="35" t="s">
        <v>104</v>
      </c>
      <c r="X10" s="36" t="s">
        <v>112</v>
      </c>
      <c r="Y10" s="147" t="s">
        <v>124</v>
      </c>
    </row>
    <row r="11" spans="1:28" ht="16.5" thickTop="1" thickBot="1">
      <c r="A11" s="78" t="s">
        <v>125</v>
      </c>
      <c r="B11" s="78" t="s">
        <v>126</v>
      </c>
      <c r="C11" s="78">
        <v>20</v>
      </c>
      <c r="D11" s="78" t="s">
        <v>108</v>
      </c>
      <c r="E11" s="214">
        <v>0</v>
      </c>
      <c r="F11" s="78">
        <v>1</v>
      </c>
      <c r="G11" s="230">
        <v>0</v>
      </c>
      <c r="H11" s="68">
        <v>0</v>
      </c>
      <c r="I11" s="96">
        <f>+E11*H11</f>
        <v>0</v>
      </c>
      <c r="J11" s="76">
        <f>+F11*H11</f>
        <v>0</v>
      </c>
      <c r="K11" s="78"/>
      <c r="L11" s="70">
        <f>+G11</f>
        <v>0</v>
      </c>
      <c r="M11" s="97">
        <f>+I11</f>
        <v>0</v>
      </c>
      <c r="N11" s="69">
        <f>+J11</f>
        <v>0</v>
      </c>
      <c r="O11" s="86" t="str">
        <f>+A11</f>
        <v>CONCEPT</v>
      </c>
      <c r="P11" s="148"/>
      <c r="Q11" s="84"/>
      <c r="R11" s="41"/>
      <c r="S11" s="42"/>
      <c r="T11" s="43"/>
      <c r="U11" s="35" t="s">
        <v>103</v>
      </c>
      <c r="V11" s="35" t="s">
        <v>104</v>
      </c>
      <c r="X11" s="36" t="s">
        <v>105</v>
      </c>
      <c r="Y11" s="147" t="s">
        <v>127</v>
      </c>
    </row>
    <row r="12" spans="1:28" ht="16.5" thickTop="1" thickBot="1">
      <c r="A12" s="226" t="s">
        <v>128</v>
      </c>
      <c r="B12" s="78" t="s">
        <v>129</v>
      </c>
      <c r="C12" s="78">
        <v>20</v>
      </c>
      <c r="D12" s="78" t="s">
        <v>108</v>
      </c>
      <c r="E12" s="214">
        <v>0</v>
      </c>
      <c r="F12" s="215">
        <v>1</v>
      </c>
      <c r="G12" s="230">
        <f t="shared" si="2"/>
        <v>0</v>
      </c>
      <c r="H12" s="68">
        <v>0</v>
      </c>
      <c r="I12" s="200">
        <f t="shared" si="3"/>
        <v>0</v>
      </c>
      <c r="J12" s="76">
        <f t="shared" ref="J12:J49" si="4">IF($B$3 =1, H12*F12, (H12/C12) *F12)</f>
        <v>0</v>
      </c>
      <c r="K12" s="78"/>
      <c r="L12" s="70"/>
      <c r="M12" s="97"/>
      <c r="N12" s="69"/>
      <c r="O12" s="86"/>
      <c r="P12" s="148"/>
      <c r="Q12" s="84"/>
      <c r="R12" s="41"/>
      <c r="S12" s="42"/>
      <c r="T12" s="43"/>
      <c r="U12" s="35" t="s">
        <v>103</v>
      </c>
      <c r="V12" s="35" t="s">
        <v>104</v>
      </c>
      <c r="X12" s="36" t="s">
        <v>130</v>
      </c>
      <c r="Y12" s="147" t="s">
        <v>131</v>
      </c>
    </row>
    <row r="13" spans="1:28" ht="16.5" thickTop="1" thickBot="1">
      <c r="A13" s="226" t="s">
        <v>128</v>
      </c>
      <c r="B13" s="78" t="s">
        <v>132</v>
      </c>
      <c r="C13" s="78">
        <v>320</v>
      </c>
      <c r="D13" s="78" t="s">
        <v>102</v>
      </c>
      <c r="E13" s="214">
        <v>0</v>
      </c>
      <c r="F13" s="215">
        <v>16</v>
      </c>
      <c r="G13" s="230">
        <f t="shared" si="2"/>
        <v>0</v>
      </c>
      <c r="H13" s="68">
        <v>0</v>
      </c>
      <c r="I13" s="96">
        <f t="shared" si="3"/>
        <v>0</v>
      </c>
      <c r="J13" s="76">
        <f t="shared" si="4"/>
        <v>0</v>
      </c>
      <c r="K13" s="78"/>
      <c r="L13" s="70">
        <f>IF( $B$3 = 1,  SUM(G12:G13), SUM(H12:H13) )</f>
        <v>0</v>
      </c>
      <c r="M13" s="97">
        <f>SUM(I12:I13)</f>
        <v>0</v>
      </c>
      <c r="N13" s="69">
        <f>SUM(J12:J13)</f>
        <v>0</v>
      </c>
      <c r="O13" s="86" t="str">
        <f>+A13</f>
        <v>DELARO</v>
      </c>
      <c r="P13" s="148"/>
      <c r="Q13" s="84"/>
      <c r="R13" s="41"/>
      <c r="S13" s="42"/>
      <c r="T13" s="43"/>
      <c r="U13" s="35" t="s">
        <v>103</v>
      </c>
      <c r="V13" s="35" t="s">
        <v>104</v>
      </c>
      <c r="X13" s="36" t="s">
        <v>130</v>
      </c>
      <c r="Y13" s="147" t="s">
        <v>133</v>
      </c>
    </row>
    <row r="14" spans="1:28" ht="16.5" thickTop="1" thickBot="1">
      <c r="A14" s="78" t="s">
        <v>134</v>
      </c>
      <c r="B14" s="78" t="s">
        <v>135</v>
      </c>
      <c r="C14" s="78">
        <v>22</v>
      </c>
      <c r="D14" s="78" t="s">
        <v>108</v>
      </c>
      <c r="E14" s="214">
        <v>0</v>
      </c>
      <c r="F14" s="215">
        <v>1</v>
      </c>
      <c r="G14" s="230">
        <f t="shared" si="2"/>
        <v>0</v>
      </c>
      <c r="H14" s="68">
        <v>0</v>
      </c>
      <c r="I14" s="96">
        <f t="shared" si="3"/>
        <v>0</v>
      </c>
      <c r="J14" s="76">
        <f t="shared" si="4"/>
        <v>0</v>
      </c>
      <c r="K14" s="78"/>
      <c r="L14" s="70">
        <f>IF( $B$3 = 1,  G14,H14 )</f>
        <v>0</v>
      </c>
      <c r="M14" s="97">
        <f t="shared" ref="M14:N16" si="5">+I14</f>
        <v>0</v>
      </c>
      <c r="N14" s="69">
        <f t="shared" si="5"/>
        <v>0</v>
      </c>
      <c r="O14" s="86" t="str">
        <f>+A14</f>
        <v>EMESTO SILVER</v>
      </c>
      <c r="P14" s="148"/>
      <c r="Q14" s="84"/>
      <c r="R14" s="41"/>
      <c r="S14" s="42"/>
      <c r="T14" s="43"/>
      <c r="U14" s="35" t="s">
        <v>103</v>
      </c>
      <c r="V14" s="35" t="s">
        <v>104</v>
      </c>
      <c r="X14" s="36" t="s">
        <v>136</v>
      </c>
      <c r="Y14" s="147" t="s">
        <v>137</v>
      </c>
    </row>
    <row r="15" spans="1:28" ht="16.5" thickTop="1" thickBot="1">
      <c r="A15" s="226" t="s">
        <v>138</v>
      </c>
      <c r="B15" s="78" t="s">
        <v>139</v>
      </c>
      <c r="C15" s="78">
        <v>1696</v>
      </c>
      <c r="D15" s="78" t="s">
        <v>108</v>
      </c>
      <c r="E15" s="214">
        <v>0</v>
      </c>
      <c r="F15" s="78">
        <v>1</v>
      </c>
      <c r="G15" s="230">
        <f t="shared" si="2"/>
        <v>0</v>
      </c>
      <c r="H15" s="68">
        <v>0</v>
      </c>
      <c r="I15" s="96">
        <f t="shared" si="3"/>
        <v>0</v>
      </c>
      <c r="J15" s="76">
        <f t="shared" si="4"/>
        <v>0</v>
      </c>
      <c r="K15" s="78"/>
      <c r="L15" s="70">
        <f>IF( $B$3 = 1,  G15,H15 )</f>
        <v>0</v>
      </c>
      <c r="M15" s="97">
        <f t="shared" si="5"/>
        <v>0</v>
      </c>
      <c r="N15" s="69">
        <f t="shared" si="5"/>
        <v>0</v>
      </c>
      <c r="O15" s="86" t="str">
        <f>+A15</f>
        <v>EVERGOL ENERGY</v>
      </c>
      <c r="P15" s="148"/>
      <c r="Q15" s="84"/>
      <c r="R15" s="41"/>
      <c r="S15" s="42"/>
      <c r="T15" s="43"/>
      <c r="U15" s="35" t="s">
        <v>103</v>
      </c>
      <c r="V15" s="35" t="s">
        <v>104</v>
      </c>
      <c r="X15" s="36" t="s">
        <v>136</v>
      </c>
      <c r="Y15" s="147" t="s">
        <v>140</v>
      </c>
    </row>
    <row r="16" spans="1:28" ht="16.5" thickTop="1" thickBot="1">
      <c r="A16" s="226" t="s">
        <v>141</v>
      </c>
      <c r="B16" s="78" t="s">
        <v>142</v>
      </c>
      <c r="C16" s="78">
        <v>40</v>
      </c>
      <c r="D16" s="78" t="s">
        <v>108</v>
      </c>
      <c r="E16" s="214">
        <v>0</v>
      </c>
      <c r="F16" s="215">
        <v>1</v>
      </c>
      <c r="G16" s="230">
        <f t="shared" si="2"/>
        <v>0</v>
      </c>
      <c r="H16" s="68">
        <v>0</v>
      </c>
      <c r="I16" s="96">
        <f t="shared" si="3"/>
        <v>0</v>
      </c>
      <c r="J16" s="76">
        <f t="shared" si="4"/>
        <v>0</v>
      </c>
      <c r="K16" s="78"/>
      <c r="L16" s="70">
        <f>IF( $B$3 = 1,  G16,H16 )</f>
        <v>0</v>
      </c>
      <c r="M16" s="97">
        <f t="shared" si="5"/>
        <v>0</v>
      </c>
      <c r="N16" s="69">
        <f t="shared" si="5"/>
        <v>0</v>
      </c>
      <c r="O16" s="89" t="str">
        <f>+A16</f>
        <v>FOLICUR EW</v>
      </c>
      <c r="P16" s="148"/>
      <c r="Q16" s="84"/>
      <c r="R16" s="41"/>
      <c r="S16" s="42"/>
      <c r="T16" s="43"/>
      <c r="U16" s="35" t="s">
        <v>103</v>
      </c>
      <c r="V16" s="35" t="s">
        <v>104</v>
      </c>
      <c r="X16" s="36" t="s">
        <v>130</v>
      </c>
      <c r="Y16" s="147" t="s">
        <v>143</v>
      </c>
    </row>
    <row r="17" spans="1:26" ht="16.5" thickTop="1" thickBot="1">
      <c r="A17" s="226" t="s">
        <v>144</v>
      </c>
      <c r="B17" s="78" t="s">
        <v>145</v>
      </c>
      <c r="C17" s="78">
        <v>20</v>
      </c>
      <c r="D17" s="78" t="s">
        <v>108</v>
      </c>
      <c r="E17" s="214">
        <v>0</v>
      </c>
      <c r="F17" s="215">
        <v>1</v>
      </c>
      <c r="G17" s="230">
        <f t="shared" si="2"/>
        <v>0</v>
      </c>
      <c r="H17" s="68">
        <v>0</v>
      </c>
      <c r="I17" s="96">
        <f t="shared" si="3"/>
        <v>0</v>
      </c>
      <c r="J17" s="76">
        <f t="shared" si="4"/>
        <v>0</v>
      </c>
      <c r="K17" s="78"/>
      <c r="L17" s="70"/>
      <c r="M17" s="97"/>
      <c r="N17" s="69"/>
      <c r="O17" s="86"/>
      <c r="P17" s="148"/>
      <c r="Q17" s="84"/>
      <c r="R17" s="41"/>
      <c r="S17" s="42"/>
      <c r="T17" s="43"/>
      <c r="U17" s="35" t="s">
        <v>103</v>
      </c>
      <c r="V17" s="35" t="s">
        <v>104</v>
      </c>
      <c r="X17" s="36" t="s">
        <v>112</v>
      </c>
      <c r="Y17" s="147" t="s">
        <v>146</v>
      </c>
    </row>
    <row r="18" spans="1:26" ht="16.5" thickTop="1" thickBot="1">
      <c r="A18" s="226" t="s">
        <v>144</v>
      </c>
      <c r="B18" s="78" t="s">
        <v>147</v>
      </c>
      <c r="C18" s="78">
        <v>320</v>
      </c>
      <c r="D18" s="78" t="s">
        <v>102</v>
      </c>
      <c r="E18" s="214">
        <v>0</v>
      </c>
      <c r="F18" s="215">
        <v>16</v>
      </c>
      <c r="G18" s="230">
        <f t="shared" si="2"/>
        <v>0</v>
      </c>
      <c r="H18" s="68">
        <v>0</v>
      </c>
      <c r="I18" s="96">
        <f t="shared" si="3"/>
        <v>0</v>
      </c>
      <c r="J18" s="76">
        <f t="shared" si="4"/>
        <v>0</v>
      </c>
      <c r="K18" s="78"/>
      <c r="L18" s="70"/>
      <c r="M18" s="97"/>
      <c r="N18" s="69"/>
      <c r="O18" s="86"/>
      <c r="P18" s="148"/>
      <c r="Q18" s="84"/>
      <c r="R18" s="41"/>
      <c r="S18" s="42"/>
      <c r="T18" s="43"/>
      <c r="U18" s="35" t="s">
        <v>103</v>
      </c>
      <c r="V18" s="35" t="s">
        <v>104</v>
      </c>
      <c r="X18" s="36" t="s">
        <v>112</v>
      </c>
      <c r="Y18" s="147" t="s">
        <v>148</v>
      </c>
    </row>
    <row r="19" spans="1:26" ht="16.5" thickTop="1" thickBot="1">
      <c r="A19" s="226" t="s">
        <v>144</v>
      </c>
      <c r="B19" s="78" t="s">
        <v>149</v>
      </c>
      <c r="C19" s="78">
        <v>1000</v>
      </c>
      <c r="D19" s="78" t="s">
        <v>102</v>
      </c>
      <c r="E19" s="214">
        <v>0</v>
      </c>
      <c r="F19" s="215">
        <v>50</v>
      </c>
      <c r="G19" s="230">
        <f t="shared" si="2"/>
        <v>0</v>
      </c>
      <c r="H19" s="68">
        <v>0</v>
      </c>
      <c r="I19" s="96">
        <f t="shared" si="3"/>
        <v>0</v>
      </c>
      <c r="J19" s="76">
        <f t="shared" si="4"/>
        <v>0</v>
      </c>
      <c r="K19" s="79"/>
      <c r="L19" s="70">
        <f>IF( $B$3 = 1,  SUM(G17:G19), SUM(H17:H19) )</f>
        <v>0</v>
      </c>
      <c r="M19" s="97">
        <f>SUM(I17:I19)</f>
        <v>0</v>
      </c>
      <c r="N19" s="69">
        <f>SUM(J17:J19)</f>
        <v>0</v>
      </c>
      <c r="O19" s="86" t="str">
        <f>+A19</f>
        <v>INFINITY</v>
      </c>
      <c r="P19" s="148"/>
      <c r="Q19" s="84"/>
      <c r="R19" s="41"/>
      <c r="S19" s="42"/>
      <c r="T19" s="43"/>
      <c r="U19" s="35" t="s">
        <v>103</v>
      </c>
      <c r="V19" s="35" t="s">
        <v>104</v>
      </c>
      <c r="X19" s="36" t="s">
        <v>112</v>
      </c>
      <c r="Y19" s="147" t="s">
        <v>150</v>
      </c>
    </row>
    <row r="20" spans="1:26" ht="16.5" thickTop="1" thickBot="1">
      <c r="A20" s="226" t="s">
        <v>151</v>
      </c>
      <c r="B20" s="78" t="s">
        <v>152</v>
      </c>
      <c r="C20" s="78">
        <v>40</v>
      </c>
      <c r="D20" s="78" t="s">
        <v>108</v>
      </c>
      <c r="E20" s="214">
        <v>0</v>
      </c>
      <c r="F20" s="215">
        <v>2</v>
      </c>
      <c r="G20" s="230">
        <f t="shared" si="2"/>
        <v>0</v>
      </c>
      <c r="H20" s="68">
        <v>0</v>
      </c>
      <c r="I20" s="96">
        <f t="shared" si="3"/>
        <v>0</v>
      </c>
      <c r="J20" s="76">
        <f t="shared" si="4"/>
        <v>0</v>
      </c>
      <c r="K20" s="80"/>
      <c r="L20" s="70"/>
      <c r="M20" s="97"/>
      <c r="N20" s="69"/>
      <c r="O20" s="86"/>
      <c r="P20" s="148"/>
      <c r="Q20" s="84"/>
      <c r="R20" s="41"/>
      <c r="S20" s="42"/>
      <c r="T20" s="43"/>
      <c r="U20" s="35" t="s">
        <v>103</v>
      </c>
      <c r="V20" s="35" t="s">
        <v>104</v>
      </c>
      <c r="X20" s="36" t="s">
        <v>112</v>
      </c>
      <c r="Y20" s="147" t="s">
        <v>153</v>
      </c>
    </row>
    <row r="21" spans="1:26" s="36" customFormat="1" ht="15.75" thickTop="1" thickBot="1">
      <c r="A21" s="217" t="s">
        <v>151</v>
      </c>
      <c r="B21" s="78" t="s">
        <v>154</v>
      </c>
      <c r="C21" s="78">
        <v>20</v>
      </c>
      <c r="D21" s="78" t="s">
        <v>108</v>
      </c>
      <c r="E21" s="214">
        <v>0</v>
      </c>
      <c r="F21" s="215">
        <v>1</v>
      </c>
      <c r="G21" s="230">
        <f t="shared" si="2"/>
        <v>0</v>
      </c>
      <c r="H21" s="68">
        <v>0</v>
      </c>
      <c r="I21" s="96">
        <f t="shared" si="3"/>
        <v>0</v>
      </c>
      <c r="J21" s="76">
        <f t="shared" si="4"/>
        <v>0</v>
      </c>
      <c r="K21" s="80"/>
      <c r="L21" s="70"/>
      <c r="M21" s="97"/>
      <c r="N21" s="69"/>
      <c r="O21" s="86"/>
      <c r="P21" s="148"/>
      <c r="Q21" s="85"/>
      <c r="R21" s="38"/>
      <c r="S21" s="39"/>
      <c r="T21" s="34"/>
      <c r="U21" s="35" t="s">
        <v>103</v>
      </c>
      <c r="V21" s="35" t="s">
        <v>104</v>
      </c>
      <c r="X21" s="36" t="s">
        <v>112</v>
      </c>
      <c r="Y21" s="147" t="s">
        <v>143</v>
      </c>
      <c r="Z21" s="36" t="s">
        <v>155</v>
      </c>
    </row>
    <row r="22" spans="1:26" s="36" customFormat="1" ht="15.75" thickTop="1" thickBot="1">
      <c r="A22" s="217" t="s">
        <v>151</v>
      </c>
      <c r="B22" s="241" t="s">
        <v>156</v>
      </c>
      <c r="C22" s="78">
        <v>1000</v>
      </c>
      <c r="D22" s="78" t="s">
        <v>102</v>
      </c>
      <c r="E22" s="214">
        <v>0</v>
      </c>
      <c r="F22" s="215">
        <v>50</v>
      </c>
      <c r="G22" s="230">
        <f t="shared" si="2"/>
        <v>0</v>
      </c>
      <c r="H22" s="68">
        <v>0</v>
      </c>
      <c r="I22" s="96">
        <f t="shared" si="3"/>
        <v>0</v>
      </c>
      <c r="J22" s="76">
        <f t="shared" si="4"/>
        <v>0</v>
      </c>
      <c r="K22" s="80"/>
      <c r="L22" s="70"/>
      <c r="M22" s="97"/>
      <c r="N22" s="69"/>
      <c r="O22" s="86"/>
      <c r="P22" s="148"/>
      <c r="Q22" s="85"/>
      <c r="R22" s="38"/>
      <c r="S22" s="39"/>
      <c r="T22" s="34"/>
      <c r="U22" s="35" t="s">
        <v>103</v>
      </c>
      <c r="V22" s="35" t="s">
        <v>104</v>
      </c>
      <c r="X22" s="36" t="s">
        <v>112</v>
      </c>
      <c r="Y22" s="147" t="s">
        <v>157</v>
      </c>
      <c r="Z22" s="36" t="s">
        <v>158</v>
      </c>
    </row>
    <row r="23" spans="1:26" s="36" customFormat="1" ht="15.75" thickTop="1" thickBot="1">
      <c r="A23" s="217" t="s">
        <v>151</v>
      </c>
      <c r="B23" s="241" t="s">
        <v>159</v>
      </c>
      <c r="C23" s="78">
        <v>320</v>
      </c>
      <c r="D23" s="78" t="s">
        <v>102</v>
      </c>
      <c r="E23" s="214">
        <v>0</v>
      </c>
      <c r="F23" s="215">
        <v>16</v>
      </c>
      <c r="G23" s="230">
        <f t="shared" si="2"/>
        <v>0</v>
      </c>
      <c r="H23" s="68">
        <v>0</v>
      </c>
      <c r="I23" s="96">
        <f t="shared" si="3"/>
        <v>0</v>
      </c>
      <c r="J23" s="76">
        <f t="shared" si="4"/>
        <v>0</v>
      </c>
      <c r="K23" s="80"/>
      <c r="L23" s="70">
        <f>IF( $B$3 = 1,  SUM(G20:G23), SUM(H20:H23) )</f>
        <v>0</v>
      </c>
      <c r="M23" s="97">
        <f>SUM(I20:I23)</f>
        <v>0</v>
      </c>
      <c r="N23" s="69">
        <f>SUM(J20:J23)</f>
        <v>0</v>
      </c>
      <c r="O23" s="86" t="str">
        <f>+A23</f>
        <v>INFINITY FX</v>
      </c>
      <c r="P23" s="148"/>
      <c r="Q23" s="85"/>
      <c r="R23" s="38"/>
      <c r="S23" s="39"/>
      <c r="T23" s="34"/>
      <c r="U23" s="35" t="s">
        <v>103</v>
      </c>
      <c r="V23" s="35" t="s">
        <v>104</v>
      </c>
      <c r="X23" s="36" t="s">
        <v>112</v>
      </c>
      <c r="Y23" s="147" t="s">
        <v>160</v>
      </c>
      <c r="Z23" s="36" t="s">
        <v>161</v>
      </c>
    </row>
    <row r="24" spans="1:26" s="36" customFormat="1" ht="15.75" thickTop="1" thickBot="1">
      <c r="A24" s="217" t="s">
        <v>162</v>
      </c>
      <c r="B24" s="241" t="s">
        <v>163</v>
      </c>
      <c r="C24" s="241">
        <v>8</v>
      </c>
      <c r="D24" s="78" t="s">
        <v>108</v>
      </c>
      <c r="E24" s="214">
        <v>0</v>
      </c>
      <c r="F24" s="215">
        <v>1</v>
      </c>
      <c r="G24" s="230">
        <f t="shared" si="2"/>
        <v>0</v>
      </c>
      <c r="H24" s="68">
        <v>0</v>
      </c>
      <c r="I24" s="96">
        <f t="shared" si="3"/>
        <v>0</v>
      </c>
      <c r="J24" s="76">
        <f t="shared" si="4"/>
        <v>0</v>
      </c>
      <c r="K24" s="80"/>
      <c r="L24" s="70">
        <f>IF( $B$3 = 1,  SUM(G24:G25), SUM(H24:H25) )</f>
        <v>0</v>
      </c>
      <c r="M24" s="97">
        <f>+I24+I25</f>
        <v>0</v>
      </c>
      <c r="N24" s="69">
        <f>+J24+J25</f>
        <v>0</v>
      </c>
      <c r="O24" s="81" t="str">
        <f>+A25</f>
        <v>LUNA TRANQUILITY</v>
      </c>
      <c r="P24" s="148"/>
      <c r="Q24" s="85"/>
      <c r="R24" s="38"/>
      <c r="S24" s="39"/>
      <c r="T24" s="34"/>
      <c r="U24" s="35" t="s">
        <v>103</v>
      </c>
      <c r="V24" s="35" t="s">
        <v>104</v>
      </c>
      <c r="X24" s="36" t="s">
        <v>130</v>
      </c>
      <c r="Y24" s="147" t="s">
        <v>164</v>
      </c>
    </row>
    <row r="25" spans="1:26" s="36" customFormat="1" ht="15.75" thickTop="1" thickBot="1">
      <c r="A25" s="217" t="s">
        <v>162</v>
      </c>
      <c r="B25" s="241" t="s">
        <v>165</v>
      </c>
      <c r="C25" s="241">
        <v>20</v>
      </c>
      <c r="D25" s="78" t="s">
        <v>102</v>
      </c>
      <c r="E25" s="214">
        <v>0</v>
      </c>
      <c r="F25" s="215">
        <v>2.4300000000000002</v>
      </c>
      <c r="G25" s="230">
        <f t="shared" si="2"/>
        <v>0</v>
      </c>
      <c r="H25" s="68">
        <v>0</v>
      </c>
      <c r="I25" s="96">
        <f t="shared" si="3"/>
        <v>0</v>
      </c>
      <c r="J25" s="76">
        <f t="shared" si="4"/>
        <v>0</v>
      </c>
      <c r="K25" s="81"/>
      <c r="P25" s="148"/>
      <c r="Q25" s="85"/>
      <c r="R25" s="38"/>
      <c r="S25" s="39"/>
      <c r="T25" s="34"/>
      <c r="U25" s="35" t="s">
        <v>103</v>
      </c>
      <c r="V25" s="35" t="s">
        <v>104</v>
      </c>
      <c r="X25" s="36" t="s">
        <v>130</v>
      </c>
      <c r="Y25" s="147" t="s">
        <v>166</v>
      </c>
    </row>
    <row r="26" spans="1:26" ht="16.5" thickTop="1" thickBot="1">
      <c r="A26" s="226" t="s">
        <v>167</v>
      </c>
      <c r="B26" s="78" t="s">
        <v>168</v>
      </c>
      <c r="C26" s="78">
        <v>40</v>
      </c>
      <c r="D26" s="78" t="s">
        <v>108</v>
      </c>
      <c r="E26" s="214">
        <v>0</v>
      </c>
      <c r="F26" s="215">
        <v>1</v>
      </c>
      <c r="G26" s="230">
        <f t="shared" si="2"/>
        <v>0</v>
      </c>
      <c r="H26" s="68">
        <v>0</v>
      </c>
      <c r="I26" s="96">
        <f t="shared" si="3"/>
        <v>0</v>
      </c>
      <c r="J26" s="76">
        <f t="shared" si="4"/>
        <v>0</v>
      </c>
      <c r="K26" s="80"/>
      <c r="L26" s="70">
        <f>IF( $B$3 = 1,  G26,H26 )</f>
        <v>0</v>
      </c>
      <c r="M26" s="97">
        <f>+I26</f>
        <v>0</v>
      </c>
      <c r="N26" s="69">
        <f>+J26</f>
        <v>0</v>
      </c>
      <c r="O26" s="86" t="str">
        <f>+A26</f>
        <v>LUXXUR</v>
      </c>
      <c r="P26" s="148"/>
      <c r="Q26" s="84"/>
      <c r="R26" s="41"/>
      <c r="S26" s="42"/>
      <c r="T26" s="43"/>
      <c r="U26" s="35" t="s">
        <v>103</v>
      </c>
      <c r="V26" s="35" t="s">
        <v>104</v>
      </c>
      <c r="X26" s="36" t="s">
        <v>112</v>
      </c>
      <c r="Y26" s="147" t="s">
        <v>169</v>
      </c>
    </row>
    <row r="27" spans="1:26" s="36" customFormat="1" ht="15.75" thickTop="1" thickBot="1">
      <c r="A27" s="217" t="s">
        <v>170</v>
      </c>
      <c r="B27" s="78" t="s">
        <v>171</v>
      </c>
      <c r="C27" s="78">
        <v>11</v>
      </c>
      <c r="D27" s="78" t="s">
        <v>102</v>
      </c>
      <c r="E27" s="214">
        <v>0</v>
      </c>
      <c r="F27" s="215">
        <v>0.5</v>
      </c>
      <c r="G27" s="230">
        <f t="shared" si="2"/>
        <v>0</v>
      </c>
      <c r="H27" s="68">
        <v>0</v>
      </c>
      <c r="I27" s="96">
        <f t="shared" si="3"/>
        <v>0</v>
      </c>
      <c r="J27" s="76">
        <f t="shared" si="4"/>
        <v>0</v>
      </c>
      <c r="K27" s="80"/>
      <c r="L27" s="70"/>
      <c r="M27" s="97"/>
      <c r="N27" s="69"/>
      <c r="O27" s="86"/>
      <c r="P27" s="87"/>
      <c r="Q27" s="85"/>
      <c r="R27" s="38"/>
      <c r="S27" s="39"/>
      <c r="T27" s="34" t="s">
        <v>172</v>
      </c>
      <c r="U27" s="35" t="s">
        <v>103</v>
      </c>
      <c r="V27" s="35" t="s">
        <v>104</v>
      </c>
      <c r="X27" s="36" t="s">
        <v>130</v>
      </c>
      <c r="Y27" s="147" t="s">
        <v>106</v>
      </c>
    </row>
    <row r="28" spans="1:26" s="36" customFormat="1" ht="15.75" thickTop="1" thickBot="1">
      <c r="A28" s="217" t="s">
        <v>170</v>
      </c>
      <c r="B28" s="241" t="s">
        <v>173</v>
      </c>
      <c r="C28" s="241">
        <v>22</v>
      </c>
      <c r="D28" s="78" t="s">
        <v>108</v>
      </c>
      <c r="E28" s="214">
        <v>0</v>
      </c>
      <c r="F28" s="215">
        <v>1</v>
      </c>
      <c r="G28" s="230">
        <f t="shared" si="2"/>
        <v>0</v>
      </c>
      <c r="H28" s="68">
        <v>0</v>
      </c>
      <c r="I28" s="96">
        <f t="shared" si="3"/>
        <v>0</v>
      </c>
      <c r="J28" s="76">
        <f t="shared" si="4"/>
        <v>0</v>
      </c>
      <c r="K28" s="80"/>
      <c r="L28" s="70">
        <f>IF( $B$3 = 1,  SUM(G27:G28), SUM(H27:H28) )</f>
        <v>0</v>
      </c>
      <c r="M28" s="97">
        <f>+I27+I28</f>
        <v>0</v>
      </c>
      <c r="N28" s="69">
        <f>+J27+J28</f>
        <v>0</v>
      </c>
      <c r="O28" s="86" t="str">
        <f>+A28</f>
        <v>MOVENTO</v>
      </c>
      <c r="P28" s="148"/>
      <c r="Q28" s="85"/>
      <c r="R28" s="38"/>
      <c r="S28" s="39"/>
      <c r="T28" s="34"/>
      <c r="U28" s="35" t="s">
        <v>103</v>
      </c>
      <c r="V28" s="35" t="s">
        <v>104</v>
      </c>
      <c r="X28" s="36" t="s">
        <v>130</v>
      </c>
      <c r="Y28" s="147" t="s">
        <v>164</v>
      </c>
    </row>
    <row r="29" spans="1:26" s="36" customFormat="1" ht="15.75" thickTop="1" thickBot="1">
      <c r="A29" s="217" t="s">
        <v>174</v>
      </c>
      <c r="B29" s="241" t="s">
        <v>175</v>
      </c>
      <c r="C29" s="78">
        <v>1</v>
      </c>
      <c r="D29" s="78" t="s">
        <v>108</v>
      </c>
      <c r="E29" s="214">
        <v>0</v>
      </c>
      <c r="F29" s="215">
        <v>1</v>
      </c>
      <c r="G29" s="230">
        <v>0</v>
      </c>
      <c r="H29" s="68">
        <v>0</v>
      </c>
      <c r="I29" s="96">
        <f>+E29*H29</f>
        <v>0</v>
      </c>
      <c r="J29" s="69">
        <f>+F29*H29</f>
        <v>0</v>
      </c>
      <c r="K29" s="80"/>
      <c r="L29" s="70">
        <f>+G29</f>
        <v>0</v>
      </c>
      <c r="M29" s="97">
        <f>+I29</f>
        <v>0</v>
      </c>
      <c r="N29" s="69">
        <f>+J29</f>
        <v>0</v>
      </c>
      <c r="O29" s="86"/>
      <c r="P29" s="88"/>
      <c r="Q29" s="85"/>
      <c r="R29" s="38"/>
      <c r="S29" s="39"/>
      <c r="T29" s="34"/>
      <c r="U29" s="35" t="s">
        <v>103</v>
      </c>
      <c r="V29" s="35" t="s">
        <v>104</v>
      </c>
      <c r="X29" s="36" t="s">
        <v>112</v>
      </c>
      <c r="Y29" s="147" t="s">
        <v>116</v>
      </c>
    </row>
    <row r="30" spans="1:26" ht="16.5" thickTop="1" thickBot="1">
      <c r="A30" s="226" t="s">
        <v>176</v>
      </c>
      <c r="B30" s="78" t="s">
        <v>177</v>
      </c>
      <c r="C30" s="78">
        <v>80</v>
      </c>
      <c r="D30" s="78" t="s">
        <v>108</v>
      </c>
      <c r="E30" s="214">
        <v>0</v>
      </c>
      <c r="F30" s="215">
        <v>1</v>
      </c>
      <c r="G30" s="230">
        <f t="shared" si="2"/>
        <v>0</v>
      </c>
      <c r="H30" s="68">
        <v>0</v>
      </c>
      <c r="I30" s="200">
        <f t="shared" si="3"/>
        <v>0</v>
      </c>
      <c r="J30" s="76">
        <f t="shared" ref="J30" si="6">IF($B$3 =1, H30*F30, (H30/C30) *F30)</f>
        <v>0</v>
      </c>
      <c r="K30" s="80"/>
      <c r="L30" s="70"/>
      <c r="M30" s="97"/>
      <c r="N30" s="69"/>
      <c r="O30" s="86"/>
      <c r="P30" s="149"/>
      <c r="Q30" s="84"/>
      <c r="R30" s="41"/>
      <c r="S30" s="42"/>
      <c r="T30" s="43"/>
      <c r="U30" s="35" t="s">
        <v>103</v>
      </c>
      <c r="V30" s="35" t="s">
        <v>104</v>
      </c>
      <c r="X30" s="36" t="s">
        <v>112</v>
      </c>
      <c r="Y30" s="147" t="s">
        <v>178</v>
      </c>
    </row>
    <row r="31" spans="1:26" s="36" customFormat="1" ht="15.75" thickTop="1" thickBot="1">
      <c r="A31" s="217" t="s">
        <v>176</v>
      </c>
      <c r="B31" s="78" t="s">
        <v>179</v>
      </c>
      <c r="C31" s="241">
        <v>80</v>
      </c>
      <c r="D31" s="78" t="s">
        <v>102</v>
      </c>
      <c r="E31" s="214">
        <v>0</v>
      </c>
      <c r="F31" s="215">
        <v>1</v>
      </c>
      <c r="G31" s="230">
        <f t="shared" si="2"/>
        <v>0</v>
      </c>
      <c r="H31" s="68">
        <v>0</v>
      </c>
      <c r="I31" s="96">
        <f t="shared" si="3"/>
        <v>0</v>
      </c>
      <c r="J31" s="76">
        <f t="shared" si="4"/>
        <v>0</v>
      </c>
      <c r="K31" s="80"/>
      <c r="L31" s="70">
        <f>IF( $B$3 = 1,  SUM(G30:G31), SUM(H30:H31) )</f>
        <v>0</v>
      </c>
      <c r="M31" s="97">
        <f>+I30+I31</f>
        <v>0</v>
      </c>
      <c r="N31" s="69">
        <f>+J30+J31</f>
        <v>0</v>
      </c>
      <c r="O31" s="86" t="str">
        <f>+A31</f>
        <v>OLYMPUS</v>
      </c>
      <c r="P31" s="87"/>
      <c r="Q31" s="85"/>
      <c r="R31" s="38"/>
      <c r="S31" s="39"/>
      <c r="T31" s="34" t="s">
        <v>172</v>
      </c>
      <c r="U31" s="35" t="s">
        <v>103</v>
      </c>
      <c r="V31" s="35" t="s">
        <v>104</v>
      </c>
      <c r="X31" s="36" t="s">
        <v>112</v>
      </c>
      <c r="Y31" s="147" t="s">
        <v>178</v>
      </c>
    </row>
    <row r="32" spans="1:26" ht="16.5" thickTop="1" thickBot="1">
      <c r="A32" s="78" t="s">
        <v>180</v>
      </c>
      <c r="B32" s="78" t="s">
        <v>181</v>
      </c>
      <c r="C32" s="78">
        <v>20</v>
      </c>
      <c r="D32" s="78" t="s">
        <v>108</v>
      </c>
      <c r="E32" s="214">
        <v>0</v>
      </c>
      <c r="F32" s="78">
        <v>1</v>
      </c>
      <c r="G32" s="230">
        <f t="shared" ref="G32:G33" si="7">IF(B$3 =1, H32*C32, H32/C32)</f>
        <v>0</v>
      </c>
      <c r="H32" s="68">
        <v>0</v>
      </c>
      <c r="I32" s="96">
        <f t="shared" si="3"/>
        <v>0</v>
      </c>
      <c r="J32" s="76">
        <f t="shared" si="4"/>
        <v>0</v>
      </c>
      <c r="K32" s="80"/>
      <c r="L32" s="70"/>
      <c r="M32" s="97"/>
      <c r="N32" s="69"/>
      <c r="O32" s="86"/>
      <c r="P32" s="148"/>
      <c r="Q32" s="84"/>
      <c r="R32" s="41"/>
      <c r="S32" s="42"/>
      <c r="T32" s="43"/>
      <c r="U32" s="35" t="s">
        <v>103</v>
      </c>
      <c r="V32" s="35" t="s">
        <v>104</v>
      </c>
      <c r="X32" s="36" t="s">
        <v>112</v>
      </c>
      <c r="Y32" s="147" t="s">
        <v>120</v>
      </c>
    </row>
    <row r="33" spans="1:26" ht="16.5" thickTop="1" thickBot="1">
      <c r="A33" s="226" t="s">
        <v>180</v>
      </c>
      <c r="B33" s="78" t="s">
        <v>182</v>
      </c>
      <c r="C33" s="78">
        <v>320</v>
      </c>
      <c r="D33" s="78" t="s">
        <v>102</v>
      </c>
      <c r="E33" s="214">
        <v>0</v>
      </c>
      <c r="F33" s="215">
        <v>16</v>
      </c>
      <c r="G33" s="230">
        <f t="shared" si="7"/>
        <v>0</v>
      </c>
      <c r="H33" s="68">
        <v>0</v>
      </c>
      <c r="I33" s="96">
        <f t="shared" si="3"/>
        <v>0</v>
      </c>
      <c r="J33" s="76">
        <f t="shared" si="4"/>
        <v>0</v>
      </c>
      <c r="K33" s="80"/>
      <c r="L33" s="70">
        <f>IF( $B$3 = 1,  SUM(G32:G33), SUM(H32:H33) )</f>
        <v>0</v>
      </c>
      <c r="M33" s="97">
        <f>+I32+I33</f>
        <v>0</v>
      </c>
      <c r="N33" s="69">
        <f>+J32+J33</f>
        <v>0</v>
      </c>
      <c r="O33" s="86" t="str">
        <f>+A33</f>
        <v>PARDNER</v>
      </c>
      <c r="P33" s="148"/>
      <c r="Q33" s="84">
        <f>IF( $B$3 = 1,  SUM($G32:$G33), SUM($H32:$H33) )</f>
        <v>0</v>
      </c>
      <c r="R33" s="41">
        <f>+$J32+$J33</f>
        <v>0</v>
      </c>
      <c r="S33" s="42"/>
      <c r="T33" s="43"/>
      <c r="U33" s="35" t="s">
        <v>103</v>
      </c>
      <c r="V33" s="35" t="s">
        <v>104</v>
      </c>
      <c r="X33" s="36" t="s">
        <v>112</v>
      </c>
      <c r="Y33" s="147" t="s">
        <v>122</v>
      </c>
    </row>
    <row r="34" spans="1:26" ht="16.5" thickTop="1" thickBot="1">
      <c r="A34" s="226" t="s">
        <v>183</v>
      </c>
      <c r="B34" s="78" t="s">
        <v>184</v>
      </c>
      <c r="C34" s="78">
        <v>40</v>
      </c>
      <c r="D34" s="78" t="s">
        <v>108</v>
      </c>
      <c r="E34" s="214">
        <v>0</v>
      </c>
      <c r="F34" s="215">
        <v>1</v>
      </c>
      <c r="G34" s="230">
        <f t="shared" si="2"/>
        <v>0</v>
      </c>
      <c r="H34" s="68">
        <v>0</v>
      </c>
      <c r="I34" s="96">
        <f t="shared" si="3"/>
        <v>0</v>
      </c>
      <c r="J34" s="76">
        <f t="shared" si="4"/>
        <v>0</v>
      </c>
      <c r="K34" s="80"/>
      <c r="L34" s="70">
        <f>IF( $B$3 = 1,  G34,H34 )</f>
        <v>0</v>
      </c>
      <c r="M34" s="97">
        <f t="shared" ref="M34:N34" si="8">+I34</f>
        <v>0</v>
      </c>
      <c r="N34" s="69">
        <f t="shared" si="8"/>
        <v>0</v>
      </c>
      <c r="O34" s="86" t="s">
        <v>183</v>
      </c>
      <c r="P34" s="148"/>
      <c r="Q34" s="84"/>
      <c r="R34" s="41"/>
      <c r="S34" s="42"/>
      <c r="T34" s="43"/>
      <c r="U34" s="35" t="s">
        <v>103</v>
      </c>
      <c r="V34" s="35" t="s">
        <v>104</v>
      </c>
      <c r="X34" s="36" t="s">
        <v>130</v>
      </c>
      <c r="Y34" s="147" t="s">
        <v>185</v>
      </c>
    </row>
    <row r="35" spans="1:26" ht="16.5" thickTop="1" thickBot="1">
      <c r="A35" s="226" t="s">
        <v>186</v>
      </c>
      <c r="B35" s="78" t="s">
        <v>186</v>
      </c>
      <c r="C35" s="78">
        <v>40</v>
      </c>
      <c r="D35" s="78" t="s">
        <v>108</v>
      </c>
      <c r="E35" s="214">
        <v>0</v>
      </c>
      <c r="F35" s="215">
        <v>1</v>
      </c>
      <c r="G35" s="230">
        <f t="shared" ref="G35:G37" si="9">IF(B$3 =1, H35*C35, H35/C35)</f>
        <v>0</v>
      </c>
      <c r="H35" s="68">
        <v>0</v>
      </c>
      <c r="I35" s="96">
        <f t="shared" ref="I35:I37" si="10">IF(B$3 = 1, H35*E35, (H35/C35) *E35)</f>
        <v>0</v>
      </c>
      <c r="J35" s="76">
        <f t="shared" ref="J35:J37" si="11">IF($B$3 =1, H35*F35, (H35/C35) *F35)</f>
        <v>0</v>
      </c>
      <c r="K35" s="80"/>
      <c r="L35" s="70">
        <f>IF( $B$3 = 1,  G35,H35 )</f>
        <v>0</v>
      </c>
      <c r="M35" s="97">
        <f t="shared" ref="M35" si="12">+I35</f>
        <v>0</v>
      </c>
      <c r="N35" s="69">
        <f t="shared" ref="N35" si="13">+J35</f>
        <v>0</v>
      </c>
      <c r="O35" s="86" t="s">
        <v>183</v>
      </c>
      <c r="P35" s="148"/>
      <c r="Q35" s="84"/>
      <c r="R35" s="41"/>
      <c r="S35" s="42"/>
      <c r="T35" s="43"/>
      <c r="U35" s="35" t="s">
        <v>103</v>
      </c>
      <c r="V35" s="35" t="s">
        <v>104</v>
      </c>
      <c r="X35" s="36" t="s">
        <v>130</v>
      </c>
    </row>
    <row r="36" spans="1:26" ht="16.5" thickTop="1" thickBot="1">
      <c r="A36" s="226" t="s">
        <v>187</v>
      </c>
      <c r="B36" s="78" t="s">
        <v>188</v>
      </c>
      <c r="C36" s="78">
        <v>20</v>
      </c>
      <c r="D36" s="78" t="s">
        <v>108</v>
      </c>
      <c r="E36" s="214">
        <v>0</v>
      </c>
      <c r="F36" s="215">
        <v>1</v>
      </c>
      <c r="G36" s="230">
        <f t="shared" si="9"/>
        <v>0</v>
      </c>
      <c r="H36" s="68">
        <v>0</v>
      </c>
      <c r="I36" s="96">
        <f t="shared" si="10"/>
        <v>0</v>
      </c>
      <c r="J36" s="76">
        <f t="shared" si="11"/>
        <v>0</v>
      </c>
      <c r="K36" s="80"/>
      <c r="L36" s="70"/>
      <c r="M36" s="97"/>
      <c r="N36" s="69"/>
      <c r="O36" s="89"/>
      <c r="P36" s="148"/>
      <c r="Q36" s="84"/>
      <c r="R36" s="41"/>
      <c r="S36" s="42"/>
      <c r="T36" s="43"/>
      <c r="U36" s="35" t="s">
        <v>103</v>
      </c>
      <c r="V36" s="35" t="s">
        <v>104</v>
      </c>
      <c r="X36" s="36" t="s">
        <v>130</v>
      </c>
      <c r="Y36" s="147" t="s">
        <v>189</v>
      </c>
    </row>
    <row r="37" spans="1:26" ht="16.5" thickTop="1" thickBot="1">
      <c r="A37" s="226" t="s">
        <v>187</v>
      </c>
      <c r="B37" s="78" t="s">
        <v>190</v>
      </c>
      <c r="C37" s="78">
        <v>320</v>
      </c>
      <c r="D37" s="78" t="s">
        <v>102</v>
      </c>
      <c r="E37" s="214">
        <v>0</v>
      </c>
      <c r="F37" s="215">
        <v>8.57</v>
      </c>
      <c r="G37" s="230">
        <f t="shared" si="9"/>
        <v>0</v>
      </c>
      <c r="H37" s="68">
        <v>0</v>
      </c>
      <c r="I37" s="96">
        <f t="shared" si="10"/>
        <v>0</v>
      </c>
      <c r="J37" s="76">
        <f t="shared" si="11"/>
        <v>0</v>
      </c>
      <c r="K37" s="80"/>
      <c r="L37" s="70">
        <f>IF( $B$3 = 1,  SUM(G36:G37), SUM(H36:H37) )</f>
        <v>0</v>
      </c>
      <c r="M37" s="97">
        <f>+I36+I37</f>
        <v>0</v>
      </c>
      <c r="N37" s="69">
        <f>+J36+J37</f>
        <v>0</v>
      </c>
      <c r="O37" s="89" t="str">
        <f>+A37</f>
        <v>PROSARO 115</v>
      </c>
      <c r="P37" s="148"/>
      <c r="Q37" s="84"/>
      <c r="R37" s="41"/>
      <c r="S37" s="42"/>
      <c r="T37" s="43"/>
      <c r="U37" s="35" t="s">
        <v>103</v>
      </c>
      <c r="V37" s="35" t="s">
        <v>104</v>
      </c>
      <c r="X37" s="36" t="s">
        <v>130</v>
      </c>
      <c r="Y37" s="147" t="s">
        <v>191</v>
      </c>
    </row>
    <row r="38" spans="1:26" ht="16.5" thickTop="1" thickBot="1">
      <c r="A38" s="226" t="s">
        <v>192</v>
      </c>
      <c r="B38" s="78" t="s">
        <v>193</v>
      </c>
      <c r="C38" s="78">
        <v>20</v>
      </c>
      <c r="D38" s="78" t="s">
        <v>108</v>
      </c>
      <c r="E38" s="214">
        <v>0</v>
      </c>
      <c r="F38" s="215">
        <v>1</v>
      </c>
      <c r="G38" s="230">
        <f t="shared" si="2"/>
        <v>0</v>
      </c>
      <c r="H38" s="68">
        <v>0</v>
      </c>
      <c r="I38" s="96">
        <f t="shared" si="3"/>
        <v>0</v>
      </c>
      <c r="J38" s="76">
        <f t="shared" si="4"/>
        <v>0</v>
      </c>
      <c r="K38" s="80"/>
      <c r="L38" s="70"/>
      <c r="M38" s="97"/>
      <c r="N38" s="69"/>
      <c r="O38" s="89"/>
      <c r="P38" s="148"/>
      <c r="Q38" s="84"/>
      <c r="R38" s="41"/>
      <c r="S38" s="42"/>
      <c r="T38" s="43"/>
      <c r="U38" s="35" t="s">
        <v>103</v>
      </c>
      <c r="V38" s="35" t="s">
        <v>104</v>
      </c>
      <c r="X38" s="36" t="s">
        <v>130</v>
      </c>
      <c r="Y38" s="147" t="s">
        <v>189</v>
      </c>
    </row>
    <row r="39" spans="1:26" ht="16.5" thickTop="1" thickBot="1">
      <c r="A39" s="226" t="s">
        <v>192</v>
      </c>
      <c r="B39" s="78" t="s">
        <v>194</v>
      </c>
      <c r="C39" s="78">
        <v>320</v>
      </c>
      <c r="D39" s="78" t="s">
        <v>102</v>
      </c>
      <c r="E39" s="214">
        <v>0</v>
      </c>
      <c r="F39" s="215">
        <v>16</v>
      </c>
      <c r="G39" s="230">
        <f t="shared" si="2"/>
        <v>0</v>
      </c>
      <c r="H39" s="68">
        <v>0</v>
      </c>
      <c r="I39" s="96">
        <f t="shared" si="3"/>
        <v>0</v>
      </c>
      <c r="J39" s="76">
        <f t="shared" si="4"/>
        <v>0</v>
      </c>
      <c r="K39" s="80"/>
      <c r="L39" s="70">
        <f>IF( $B$3 = 1,  SUM(G38:G39), SUM(H38:H39) )</f>
        <v>0</v>
      </c>
      <c r="M39" s="97">
        <f>SUM(I38:I39)</f>
        <v>0</v>
      </c>
      <c r="N39" s="69">
        <f>SUM(J38:J39)</f>
        <v>0</v>
      </c>
      <c r="O39" s="86" t="str">
        <f>+A38</f>
        <v>PROSARO XTR</v>
      </c>
      <c r="P39" s="148"/>
      <c r="Q39" s="84"/>
      <c r="R39" s="41"/>
      <c r="S39" s="42"/>
      <c r="T39" s="43"/>
      <c r="U39" s="35" t="s">
        <v>103</v>
      </c>
      <c r="V39" s="35" t="s">
        <v>104</v>
      </c>
      <c r="X39" s="36" t="s">
        <v>130</v>
      </c>
      <c r="Y39" s="147" t="s">
        <v>191</v>
      </c>
    </row>
    <row r="40" spans="1:26" ht="16.5" thickTop="1" thickBot="1">
      <c r="A40" s="226" t="s">
        <v>195</v>
      </c>
      <c r="B40" s="78" t="s">
        <v>196</v>
      </c>
      <c r="C40" s="78">
        <v>20</v>
      </c>
      <c r="D40" s="78" t="s">
        <v>108</v>
      </c>
      <c r="E40" s="214">
        <v>0</v>
      </c>
      <c r="F40" s="215">
        <v>1</v>
      </c>
      <c r="G40" s="230">
        <f t="shared" si="2"/>
        <v>0</v>
      </c>
      <c r="H40" s="68">
        <v>0</v>
      </c>
      <c r="I40" s="96">
        <f t="shared" si="3"/>
        <v>0</v>
      </c>
      <c r="J40" s="76">
        <f t="shared" si="4"/>
        <v>0</v>
      </c>
      <c r="K40" s="80"/>
      <c r="L40" s="70"/>
      <c r="M40" s="97"/>
      <c r="N40" s="69"/>
      <c r="O40" s="86"/>
      <c r="P40" s="148"/>
      <c r="Q40" s="84"/>
      <c r="R40" s="41"/>
      <c r="S40" s="42"/>
      <c r="T40" s="43"/>
      <c r="U40" s="35" t="s">
        <v>103</v>
      </c>
      <c r="V40" s="35" t="s">
        <v>104</v>
      </c>
      <c r="X40" s="36" t="s">
        <v>112</v>
      </c>
      <c r="Y40" s="147" t="s">
        <v>197</v>
      </c>
    </row>
    <row r="41" spans="1:26" ht="16.5" thickTop="1" thickBot="1">
      <c r="A41" s="226" t="s">
        <v>195</v>
      </c>
      <c r="B41" s="78" t="s">
        <v>198</v>
      </c>
      <c r="C41" s="78">
        <v>300</v>
      </c>
      <c r="D41" s="78" t="s">
        <v>102</v>
      </c>
      <c r="E41" s="214">
        <v>0</v>
      </c>
      <c r="F41" s="215">
        <v>15</v>
      </c>
      <c r="G41" s="230">
        <f t="shared" si="2"/>
        <v>0</v>
      </c>
      <c r="H41" s="68">
        <v>0</v>
      </c>
      <c r="I41" s="96">
        <f t="shared" si="3"/>
        <v>0</v>
      </c>
      <c r="J41" s="76">
        <f t="shared" si="4"/>
        <v>0</v>
      </c>
      <c r="K41" s="80"/>
      <c r="L41" s="70"/>
      <c r="M41" s="97"/>
      <c r="N41" s="69"/>
      <c r="O41" s="86"/>
      <c r="P41" s="148"/>
      <c r="Q41" s="84"/>
      <c r="R41" s="41"/>
      <c r="S41" s="42"/>
      <c r="T41" s="43"/>
      <c r="U41" s="35" t="s">
        <v>103</v>
      </c>
      <c r="V41" s="35" t="s">
        <v>104</v>
      </c>
      <c r="X41" s="36" t="s">
        <v>112</v>
      </c>
      <c r="Y41" s="147" t="s">
        <v>199</v>
      </c>
    </row>
    <row r="42" spans="1:26" ht="16.5" thickTop="1" thickBot="1">
      <c r="A42" s="226" t="s">
        <v>195</v>
      </c>
      <c r="B42" s="78" t="s">
        <v>200</v>
      </c>
      <c r="C42" s="78">
        <v>1000</v>
      </c>
      <c r="D42" s="78" t="s">
        <v>102</v>
      </c>
      <c r="E42" s="214">
        <v>0</v>
      </c>
      <c r="F42" s="215">
        <v>50</v>
      </c>
      <c r="G42" s="230">
        <f t="shared" si="2"/>
        <v>0</v>
      </c>
      <c r="H42" s="68">
        <v>0</v>
      </c>
      <c r="I42" s="96">
        <f t="shared" si="3"/>
        <v>0</v>
      </c>
      <c r="J42" s="76">
        <f t="shared" si="4"/>
        <v>0</v>
      </c>
      <c r="K42" s="80"/>
      <c r="L42" s="70">
        <f>IF( $B$3 = 1,  SUM(G40:G42), SUM(H40:H42) )</f>
        <v>0</v>
      </c>
      <c r="M42" s="97">
        <f>SUM(I40:I42)</f>
        <v>0</v>
      </c>
      <c r="N42" s="69">
        <f>SUM(J40:J42)</f>
        <v>0</v>
      </c>
      <c r="O42" s="86" t="str">
        <f>+A42</f>
        <v>PUMA ADVANCE</v>
      </c>
      <c r="P42" s="148"/>
      <c r="Q42" s="84"/>
      <c r="R42" s="41"/>
      <c r="S42" s="42"/>
      <c r="T42" s="43"/>
      <c r="U42" s="35" t="s">
        <v>103</v>
      </c>
      <c r="V42" s="35" t="s">
        <v>104</v>
      </c>
      <c r="X42" s="36" t="s">
        <v>112</v>
      </c>
      <c r="Y42" s="147" t="s">
        <v>201</v>
      </c>
    </row>
    <row r="43" spans="1:26" ht="16.5" thickTop="1" thickBot="1">
      <c r="A43" s="226" t="s">
        <v>202</v>
      </c>
      <c r="B43" s="78" t="s">
        <v>203</v>
      </c>
      <c r="C43" s="78">
        <v>65</v>
      </c>
      <c r="D43" s="78" t="s">
        <v>108</v>
      </c>
      <c r="E43" s="214">
        <v>0</v>
      </c>
      <c r="F43" s="78">
        <v>1</v>
      </c>
      <c r="G43" s="230">
        <f t="shared" si="2"/>
        <v>0</v>
      </c>
      <c r="H43" s="68">
        <v>0</v>
      </c>
      <c r="I43" s="96">
        <f t="shared" si="3"/>
        <v>0</v>
      </c>
      <c r="J43" s="76">
        <f t="shared" si="4"/>
        <v>0</v>
      </c>
      <c r="K43" s="80"/>
      <c r="L43" s="70"/>
      <c r="M43" s="97"/>
      <c r="N43" s="69"/>
      <c r="O43" s="86"/>
      <c r="P43" s="148"/>
      <c r="Q43" s="84"/>
      <c r="R43" s="41"/>
      <c r="S43" s="42"/>
      <c r="T43" s="43"/>
      <c r="U43" s="35" t="s">
        <v>103</v>
      </c>
      <c r="V43" s="35" t="s">
        <v>104</v>
      </c>
      <c r="X43" s="36" t="s">
        <v>136</v>
      </c>
      <c r="Y43" s="147" t="s">
        <v>116</v>
      </c>
      <c r="Z43" s="16" t="s">
        <v>155</v>
      </c>
    </row>
    <row r="44" spans="1:26" ht="16.5" thickTop="1" thickBot="1">
      <c r="A44" s="226" t="s">
        <v>202</v>
      </c>
      <c r="B44" s="78" t="s">
        <v>204</v>
      </c>
      <c r="C44" s="244">
        <v>380.25</v>
      </c>
      <c r="D44" s="78" t="s">
        <v>102</v>
      </c>
      <c r="E44" s="214">
        <v>0</v>
      </c>
      <c r="F44" s="78">
        <v>5.85</v>
      </c>
      <c r="G44" s="230">
        <f t="shared" si="2"/>
        <v>0</v>
      </c>
      <c r="H44" s="68">
        <v>0</v>
      </c>
      <c r="I44" s="96">
        <f t="shared" si="3"/>
        <v>0</v>
      </c>
      <c r="J44" s="76">
        <f t="shared" si="4"/>
        <v>0</v>
      </c>
      <c r="K44" s="80"/>
      <c r="L44" s="70"/>
      <c r="M44" s="97"/>
      <c r="N44" s="69"/>
      <c r="O44" s="86"/>
      <c r="P44" s="148"/>
      <c r="Q44" s="84"/>
      <c r="R44" s="41"/>
      <c r="S44" s="42"/>
      <c r="T44" s="43"/>
      <c r="U44" s="35" t="s">
        <v>103</v>
      </c>
      <c r="V44" s="35" t="s">
        <v>104</v>
      </c>
      <c r="X44" s="36" t="s">
        <v>136</v>
      </c>
      <c r="Y44" s="147" t="s">
        <v>205</v>
      </c>
      <c r="Z44" s="16" t="s">
        <v>158</v>
      </c>
    </row>
    <row r="45" spans="1:26" ht="16.5" thickTop="1" thickBot="1">
      <c r="A45" s="226" t="s">
        <v>202</v>
      </c>
      <c r="B45" s="78" t="s">
        <v>206</v>
      </c>
      <c r="C45" s="78">
        <v>1140.75</v>
      </c>
      <c r="D45" s="78" t="s">
        <v>102</v>
      </c>
      <c r="E45" s="214">
        <v>0</v>
      </c>
      <c r="F45" s="78">
        <v>17.55</v>
      </c>
      <c r="G45" s="230">
        <f t="shared" si="2"/>
        <v>0</v>
      </c>
      <c r="H45" s="68">
        <v>0</v>
      </c>
      <c r="I45" s="96">
        <f t="shared" si="3"/>
        <v>0</v>
      </c>
      <c r="J45" s="76">
        <f t="shared" si="4"/>
        <v>0</v>
      </c>
      <c r="K45" s="80"/>
      <c r="L45" s="70"/>
      <c r="M45" s="97"/>
      <c r="N45" s="69"/>
      <c r="O45" s="86"/>
      <c r="P45" s="148"/>
      <c r="Q45" s="84"/>
      <c r="R45" s="41"/>
      <c r="S45" s="42"/>
      <c r="T45" s="43"/>
      <c r="U45" s="35" t="s">
        <v>103</v>
      </c>
      <c r="V45" s="35" t="s">
        <v>104</v>
      </c>
      <c r="X45" s="36" t="s">
        <v>136</v>
      </c>
      <c r="Y45" s="147" t="s">
        <v>207</v>
      </c>
      <c r="Z45" s="16" t="s">
        <v>158</v>
      </c>
    </row>
    <row r="46" spans="1:26" ht="16.5" thickTop="1" thickBot="1">
      <c r="A46" s="226" t="s">
        <v>202</v>
      </c>
      <c r="B46" s="78" t="s">
        <v>208</v>
      </c>
      <c r="C46" s="78">
        <v>6500</v>
      </c>
      <c r="D46" s="78" t="s">
        <v>102</v>
      </c>
      <c r="E46" s="214">
        <v>0</v>
      </c>
      <c r="F46" s="78">
        <v>100</v>
      </c>
      <c r="G46" s="230">
        <f t="shared" si="2"/>
        <v>0</v>
      </c>
      <c r="H46" s="68">
        <v>0</v>
      </c>
      <c r="I46" s="96">
        <f t="shared" si="3"/>
        <v>0</v>
      </c>
      <c r="J46" s="76">
        <f t="shared" si="4"/>
        <v>0</v>
      </c>
      <c r="K46" s="80"/>
      <c r="L46" s="70">
        <f>IF( $B$3 = 1,  SUM(G43:G46), SUM(H43:H46) )</f>
        <v>0</v>
      </c>
      <c r="M46" s="97">
        <f>SUM(I43:I46)</f>
        <v>0</v>
      </c>
      <c r="N46" s="69">
        <f>SUM(J43:J46)</f>
        <v>0</v>
      </c>
      <c r="O46" s="86" t="str">
        <f>+A46</f>
        <v>RAXIL PRO</v>
      </c>
      <c r="P46" s="148"/>
      <c r="Q46" s="84"/>
      <c r="R46" s="41"/>
      <c r="S46" s="42"/>
      <c r="T46" s="43"/>
      <c r="U46" s="35" t="s">
        <v>103</v>
      </c>
      <c r="V46" s="35" t="s">
        <v>104</v>
      </c>
      <c r="X46" s="36" t="s">
        <v>136</v>
      </c>
      <c r="Y46" s="147" t="s">
        <v>209</v>
      </c>
      <c r="Z46" s="16" t="s">
        <v>158</v>
      </c>
    </row>
    <row r="47" spans="1:26" ht="16.5" thickTop="1" thickBot="1">
      <c r="A47" s="226" t="s">
        <v>210</v>
      </c>
      <c r="B47" s="78" t="s">
        <v>211</v>
      </c>
      <c r="C47" s="78">
        <v>65</v>
      </c>
      <c r="D47" s="78" t="s">
        <v>108</v>
      </c>
      <c r="E47" s="214">
        <v>0</v>
      </c>
      <c r="F47" s="78">
        <v>1</v>
      </c>
      <c r="G47" s="230">
        <f t="shared" si="2"/>
        <v>0</v>
      </c>
      <c r="H47" s="68">
        <v>0</v>
      </c>
      <c r="I47" s="96">
        <f t="shared" si="3"/>
        <v>0</v>
      </c>
      <c r="J47" s="76">
        <f t="shared" si="4"/>
        <v>0</v>
      </c>
      <c r="K47" s="80"/>
      <c r="L47" s="70">
        <f>IF( $B$3 = 1,  G47,H47 )</f>
        <v>0</v>
      </c>
      <c r="M47" s="97">
        <f>+I47</f>
        <v>0</v>
      </c>
      <c r="N47" s="69">
        <f>+J47</f>
        <v>0</v>
      </c>
      <c r="O47" s="86" t="str">
        <f>+A47</f>
        <v>RAXIL PRO SHIELD</v>
      </c>
      <c r="P47" s="148"/>
      <c r="Q47" s="84"/>
      <c r="R47" s="41"/>
      <c r="S47" s="42"/>
      <c r="T47" s="43"/>
      <c r="U47" s="35" t="s">
        <v>103</v>
      </c>
      <c r="V47" s="35" t="s">
        <v>104</v>
      </c>
      <c r="X47" s="36" t="s">
        <v>136</v>
      </c>
      <c r="Y47" s="147" t="s">
        <v>212</v>
      </c>
    </row>
    <row r="48" spans="1:26" ht="16.5" thickTop="1" thickBot="1">
      <c r="A48" s="226" t="s">
        <v>213</v>
      </c>
      <c r="B48" s="78" t="s">
        <v>214</v>
      </c>
      <c r="C48" s="78">
        <v>1</v>
      </c>
      <c r="D48" s="78" t="s">
        <v>108</v>
      </c>
      <c r="E48" s="214">
        <v>0</v>
      </c>
      <c r="F48" s="78">
        <v>1</v>
      </c>
      <c r="G48" s="230">
        <f t="shared" si="2"/>
        <v>0</v>
      </c>
      <c r="H48" s="68">
        <v>0</v>
      </c>
      <c r="I48" s="96">
        <f>+E48*H48</f>
        <v>0</v>
      </c>
      <c r="J48" s="69">
        <f>+F48*H48</f>
        <v>0</v>
      </c>
      <c r="K48" s="80"/>
      <c r="L48" s="70">
        <f>+G48</f>
        <v>0</v>
      </c>
      <c r="M48" s="97">
        <f>+I48</f>
        <v>0</v>
      </c>
      <c r="N48" s="69">
        <f>+J48</f>
        <v>0</v>
      </c>
      <c r="O48" s="86" t="str">
        <f>+A48</f>
        <v>REASON</v>
      </c>
      <c r="P48" s="88"/>
      <c r="Q48" s="84"/>
      <c r="R48" s="41"/>
      <c r="S48" s="42"/>
      <c r="T48" s="43"/>
      <c r="U48" s="35" t="s">
        <v>103</v>
      </c>
      <c r="V48" s="35" t="s">
        <v>104</v>
      </c>
      <c r="X48" s="36" t="s">
        <v>130</v>
      </c>
      <c r="Y48" s="147" t="s">
        <v>164</v>
      </c>
    </row>
    <row r="49" spans="1:26" ht="16.5" thickTop="1" thickBot="1">
      <c r="A49" s="78" t="s">
        <v>215</v>
      </c>
      <c r="B49" s="78" t="s">
        <v>216</v>
      </c>
      <c r="C49" s="78">
        <v>5</v>
      </c>
      <c r="D49" s="78" t="s">
        <v>108</v>
      </c>
      <c r="E49" s="214">
        <v>0</v>
      </c>
      <c r="F49" s="78">
        <v>1</v>
      </c>
      <c r="G49" s="230">
        <f t="shared" si="2"/>
        <v>0</v>
      </c>
      <c r="H49" s="68">
        <v>0</v>
      </c>
      <c r="I49" s="96">
        <f t="shared" si="3"/>
        <v>0</v>
      </c>
      <c r="J49" s="76">
        <f t="shared" si="4"/>
        <v>0</v>
      </c>
      <c r="K49" s="80"/>
      <c r="L49" s="70"/>
      <c r="M49" s="97"/>
      <c r="N49" s="69"/>
      <c r="O49" s="86"/>
      <c r="P49" s="148"/>
      <c r="Q49" s="84"/>
      <c r="R49" s="41"/>
      <c r="S49" s="42"/>
      <c r="T49" s="43"/>
      <c r="U49" s="35" t="s">
        <v>103</v>
      </c>
      <c r="V49" s="35" t="s">
        <v>104</v>
      </c>
      <c r="X49" s="36" t="s">
        <v>112</v>
      </c>
      <c r="Y49" s="147" t="s">
        <v>116</v>
      </c>
    </row>
    <row r="50" spans="1:26" ht="16.5" thickTop="1" thickBot="1">
      <c r="A50" s="78" t="s">
        <v>215</v>
      </c>
      <c r="B50" s="78" t="s">
        <v>217</v>
      </c>
      <c r="C50" s="78">
        <v>225</v>
      </c>
      <c r="D50" s="78" t="s">
        <v>102</v>
      </c>
      <c r="E50" s="214">
        <v>0</v>
      </c>
      <c r="F50" s="78">
        <v>45</v>
      </c>
      <c r="G50" s="230">
        <f>IF(B$3 =1, H50*C50, H50/C50)</f>
        <v>0</v>
      </c>
      <c r="H50" s="68">
        <v>0</v>
      </c>
      <c r="I50" s="96">
        <f>IF(B$3 = 1, H50*E50, (H50/C50) *E50)</f>
        <v>0</v>
      </c>
      <c r="J50" s="76">
        <f>IF($B$3 =1, H50*F50, (H50/C50) *F50)</f>
        <v>0</v>
      </c>
      <c r="K50" s="80"/>
      <c r="L50" s="70">
        <f>IF( $B$3 = 1,  SUM(G49:G50), SUM(H49:H50) )</f>
        <v>0</v>
      </c>
      <c r="M50" s="97">
        <f>SUM(I49:I50)</f>
        <v>0</v>
      </c>
      <c r="N50" s="69">
        <f>SUM(J49:J50)</f>
        <v>0</v>
      </c>
      <c r="O50" s="86" t="str">
        <f>+A50</f>
        <v>ROUNDUP XTEND</v>
      </c>
      <c r="P50" s="148"/>
      <c r="Q50" s="84"/>
      <c r="R50" s="41"/>
      <c r="S50" s="42"/>
      <c r="T50" s="43"/>
      <c r="U50" s="35" t="s">
        <v>103</v>
      </c>
      <c r="V50" s="35" t="s">
        <v>104</v>
      </c>
      <c r="X50" s="36" t="s">
        <v>112</v>
      </c>
      <c r="Y50" s="147" t="s">
        <v>157</v>
      </c>
    </row>
    <row r="51" spans="1:26" ht="16.5" thickTop="1" thickBot="1">
      <c r="A51" s="78" t="s">
        <v>218</v>
      </c>
      <c r="B51" s="78" t="s">
        <v>219</v>
      </c>
      <c r="C51" s="78">
        <v>15</v>
      </c>
      <c r="D51" s="78" t="s">
        <v>108</v>
      </c>
      <c r="E51" s="214">
        <v>0</v>
      </c>
      <c r="F51" s="78">
        <v>1</v>
      </c>
      <c r="G51" s="230">
        <f>IF(B$3 =1, H51*C51, H51/C51)</f>
        <v>0</v>
      </c>
      <c r="H51" s="68">
        <v>0</v>
      </c>
      <c r="I51" s="96">
        <f>IF(B$3 = 1, H51*E51, (H51/C51) *E51)</f>
        <v>0</v>
      </c>
      <c r="J51" s="76">
        <f>IF($B$3 =1, H51*F51, (H51/C51) *F51)</f>
        <v>0</v>
      </c>
      <c r="K51" s="80"/>
      <c r="L51" s="70">
        <f>IF( $B$3 = 1,  G51,H51 )</f>
        <v>0</v>
      </c>
      <c r="M51" s="97">
        <f t="shared" ref="M51" si="14">+I51</f>
        <v>0</v>
      </c>
      <c r="N51" s="69">
        <f t="shared" ref="N51" si="15">+J51</f>
        <v>0</v>
      </c>
      <c r="O51" s="86" t="str">
        <f>+A51</f>
        <v>ROUNDUP WEATHERMAX</v>
      </c>
      <c r="P51" s="148"/>
      <c r="Q51" s="84"/>
      <c r="R51" s="41"/>
      <c r="S51" s="42"/>
      <c r="T51" s="43"/>
      <c r="U51" s="35" t="s">
        <v>103</v>
      </c>
      <c r="V51" s="35" t="s">
        <v>104</v>
      </c>
      <c r="X51" s="36" t="s">
        <v>112</v>
      </c>
      <c r="Y51" s="147" t="s">
        <v>116</v>
      </c>
    </row>
    <row r="52" spans="1:26" ht="16.5" thickTop="1" thickBot="1">
      <c r="A52" s="78" t="s">
        <v>218</v>
      </c>
      <c r="B52" s="78" t="s">
        <v>220</v>
      </c>
      <c r="C52" s="78">
        <v>172</v>
      </c>
      <c r="D52" s="78" t="s">
        <v>102</v>
      </c>
      <c r="E52" s="214">
        <v>0</v>
      </c>
      <c r="F52" s="78">
        <v>11.5</v>
      </c>
      <c r="G52" s="230">
        <f t="shared" ref="G52:G54" si="16">IF(B$3 =1, H52*C52, H52/C52)</f>
        <v>0</v>
      </c>
      <c r="H52" s="68">
        <v>0</v>
      </c>
      <c r="I52" s="96">
        <f t="shared" ref="I52:I54" si="17">IF(B$3 = 1, H52*E52, (H52/C52) *E52)</f>
        <v>0</v>
      </c>
      <c r="J52" s="76">
        <f t="shared" ref="J52:J54" si="18">IF($B$3 =1, H52*F52, (H52/C52) *F52)</f>
        <v>0</v>
      </c>
      <c r="K52" s="80"/>
      <c r="L52" s="70"/>
      <c r="M52" s="97"/>
      <c r="N52" s="69"/>
      <c r="O52" s="86" t="str">
        <f t="shared" ref="O52:O54" si="19">+A52</f>
        <v>ROUNDUP WEATHERMAX</v>
      </c>
      <c r="P52" s="148"/>
      <c r="Q52" s="84"/>
      <c r="R52" s="41"/>
      <c r="S52" s="42"/>
      <c r="T52" s="43"/>
      <c r="U52" s="35" t="s">
        <v>103</v>
      </c>
      <c r="V52" s="35" t="s">
        <v>104</v>
      </c>
      <c r="X52" s="36" t="s">
        <v>112</v>
      </c>
      <c r="Y52" s="147" t="s">
        <v>221</v>
      </c>
    </row>
    <row r="53" spans="1:26" ht="16.5" thickTop="1" thickBot="1">
      <c r="A53" s="78" t="s">
        <v>218</v>
      </c>
      <c r="B53" s="78" t="s">
        <v>222</v>
      </c>
      <c r="C53" s="78">
        <v>675</v>
      </c>
      <c r="D53" s="78" t="s">
        <v>102</v>
      </c>
      <c r="E53" s="214">
        <v>0</v>
      </c>
      <c r="F53" s="78">
        <v>45</v>
      </c>
      <c r="G53" s="230">
        <f t="shared" si="16"/>
        <v>0</v>
      </c>
      <c r="H53" s="68">
        <v>0</v>
      </c>
      <c r="I53" s="96">
        <f t="shared" si="17"/>
        <v>0</v>
      </c>
      <c r="J53" s="76">
        <f t="shared" si="18"/>
        <v>0</v>
      </c>
      <c r="K53" s="80"/>
      <c r="L53" s="70"/>
      <c r="M53" s="97"/>
      <c r="N53" s="69"/>
      <c r="O53" s="86" t="str">
        <f t="shared" si="19"/>
        <v>ROUNDUP WEATHERMAX</v>
      </c>
      <c r="P53" s="148"/>
      <c r="Q53" s="84"/>
      <c r="R53" s="41"/>
      <c r="S53" s="42"/>
      <c r="T53" s="43"/>
      <c r="U53" s="35" t="s">
        <v>103</v>
      </c>
      <c r="V53" s="35" t="s">
        <v>104</v>
      </c>
      <c r="X53" s="36" t="s">
        <v>112</v>
      </c>
      <c r="Y53" s="147" t="s">
        <v>223</v>
      </c>
    </row>
    <row r="54" spans="1:26" ht="16.5" thickTop="1" thickBot="1">
      <c r="A54" s="78" t="s">
        <v>218</v>
      </c>
      <c r="B54" s="78" t="s">
        <v>224</v>
      </c>
      <c r="C54" s="78">
        <v>1200</v>
      </c>
      <c r="D54" s="78" t="s">
        <v>102</v>
      </c>
      <c r="E54" s="214">
        <v>0</v>
      </c>
      <c r="F54" s="78">
        <v>80</v>
      </c>
      <c r="G54" s="230">
        <f t="shared" si="16"/>
        <v>0</v>
      </c>
      <c r="H54" s="68">
        <v>0</v>
      </c>
      <c r="I54" s="96">
        <f t="shared" si="17"/>
        <v>0</v>
      </c>
      <c r="J54" s="76">
        <f t="shared" si="18"/>
        <v>0</v>
      </c>
      <c r="K54" s="80"/>
      <c r="L54" s="70">
        <f>IF( $B$3 = 1,  SUM(G51:G54), SUM(H51:H54) )</f>
        <v>0</v>
      </c>
      <c r="M54" s="97">
        <f>SUM(I51:I54)</f>
        <v>0</v>
      </c>
      <c r="N54" s="69">
        <f>SUM(J51:J54)</f>
        <v>0</v>
      </c>
      <c r="O54" s="86" t="str">
        <f t="shared" si="19"/>
        <v>ROUNDUP WEATHERMAX</v>
      </c>
      <c r="P54" s="148"/>
      <c r="Q54" s="84"/>
      <c r="R54" s="41"/>
      <c r="S54" s="42"/>
      <c r="T54" s="43"/>
      <c r="U54" s="35" t="s">
        <v>103</v>
      </c>
      <c r="V54" s="35" t="s">
        <v>104</v>
      </c>
      <c r="X54" s="36" t="s">
        <v>112</v>
      </c>
      <c r="Y54" s="147" t="s">
        <v>225</v>
      </c>
    </row>
    <row r="55" spans="1:26" ht="16.5" thickTop="1" thickBot="1">
      <c r="A55" s="78" t="s">
        <v>226</v>
      </c>
      <c r="B55" s="78" t="s">
        <v>227</v>
      </c>
      <c r="C55" s="78">
        <v>324.10000000000002</v>
      </c>
      <c r="D55" s="78" t="s">
        <v>102</v>
      </c>
      <c r="E55" s="214">
        <v>0</v>
      </c>
      <c r="F55" s="78">
        <v>54.02</v>
      </c>
      <c r="G55" s="230">
        <f>IF(B$3 =1, H55*C55, H55/C55)</f>
        <v>0</v>
      </c>
      <c r="H55" s="68">
        <v>0</v>
      </c>
      <c r="I55" s="96">
        <f>IF(B$3 = 1, H55*E55, (H55/C55) *E55)</f>
        <v>0</v>
      </c>
      <c r="J55" s="76">
        <f>IF($B$3 =1, H55*F55, (H55/C55) *F55)</f>
        <v>0</v>
      </c>
      <c r="K55" s="80"/>
      <c r="L55" s="70"/>
      <c r="M55" s="97"/>
      <c r="N55" s="69"/>
      <c r="O55" s="86"/>
      <c r="P55" s="148"/>
      <c r="Q55" s="84"/>
      <c r="R55" s="41"/>
      <c r="S55" s="42"/>
      <c r="T55" s="43"/>
      <c r="U55" s="35" t="s">
        <v>103</v>
      </c>
      <c r="V55" s="35" t="s">
        <v>104</v>
      </c>
      <c r="X55" s="36" t="s">
        <v>130</v>
      </c>
      <c r="Y55" s="147" t="s">
        <v>228</v>
      </c>
    </row>
    <row r="56" spans="1:26" ht="16.5" thickTop="1" thickBot="1">
      <c r="A56" s="78" t="s">
        <v>226</v>
      </c>
      <c r="B56" s="78" t="s">
        <v>229</v>
      </c>
      <c r="C56" s="78">
        <v>6</v>
      </c>
      <c r="D56" s="78" t="s">
        <v>108</v>
      </c>
      <c r="E56" s="214">
        <v>0</v>
      </c>
      <c r="F56" s="78">
        <v>1</v>
      </c>
      <c r="G56" s="230">
        <f>IF(B$3 =1, H56*C56, H56/C56)</f>
        <v>0</v>
      </c>
      <c r="H56" s="68">
        <v>0</v>
      </c>
      <c r="I56" s="96">
        <f>IF(B$3 = 1, H56*E56, (H56/C56) *E56)</f>
        <v>0</v>
      </c>
      <c r="J56" s="76">
        <f>IF($B$3 =1, H56*F56, (H56/C56) *F56)</f>
        <v>0</v>
      </c>
      <c r="K56" s="80"/>
      <c r="L56" s="70">
        <f>IF( $B$3 = 1,  SUM(G55:G56), SUM(H55:H56) )</f>
        <v>0</v>
      </c>
      <c r="M56" s="97">
        <f>SUM(I55:I56)</f>
        <v>0</v>
      </c>
      <c r="N56" s="69">
        <f>SUM(J55:J56)</f>
        <v>0</v>
      </c>
      <c r="O56" s="81" t="str">
        <f>+A56</f>
        <v>SERENADE SOIL</v>
      </c>
      <c r="P56" s="148"/>
      <c r="Q56" s="84"/>
      <c r="R56" s="41"/>
      <c r="S56" s="42"/>
      <c r="T56" s="43"/>
      <c r="U56" s="35" t="s">
        <v>103</v>
      </c>
      <c r="V56" s="35" t="s">
        <v>104</v>
      </c>
      <c r="X56" s="36" t="s">
        <v>130</v>
      </c>
      <c r="Y56" s="147" t="s">
        <v>230</v>
      </c>
    </row>
    <row r="57" spans="1:26" ht="16.5" thickTop="1" thickBot="1">
      <c r="A57" s="78" t="s">
        <v>231</v>
      </c>
      <c r="B57" s="78" t="s">
        <v>232</v>
      </c>
      <c r="C57" s="245">
        <v>7</v>
      </c>
      <c r="D57" s="78" t="s">
        <v>108</v>
      </c>
      <c r="E57" s="214">
        <v>0</v>
      </c>
      <c r="F57" s="216">
        <v>1</v>
      </c>
      <c r="G57" s="230">
        <f t="shared" ref="G57:G106" si="20">IF(B$3 =1, H57*C57, H57/C57)</f>
        <v>0</v>
      </c>
      <c r="H57" s="68">
        <v>0</v>
      </c>
      <c r="I57" s="200">
        <f t="shared" ref="I57:I106" si="21">IF(B$3 = 1, H57*E57, (H57/C57) *E57)</f>
        <v>0</v>
      </c>
      <c r="J57" s="76">
        <f t="shared" ref="J57:J82" si="22">IF($B$3 =1, H57*F57, (H57/C57) *F57)</f>
        <v>0</v>
      </c>
      <c r="K57" s="80"/>
      <c r="L57" s="70"/>
      <c r="M57" s="97"/>
      <c r="N57" s="69"/>
      <c r="O57" s="86"/>
      <c r="P57" s="148"/>
      <c r="Q57" s="84"/>
      <c r="R57" s="41"/>
      <c r="S57" s="42"/>
      <c r="T57" s="43"/>
      <c r="U57" s="35" t="s">
        <v>103</v>
      </c>
      <c r="V57" s="35" t="s">
        <v>104</v>
      </c>
      <c r="X57" s="36" t="s">
        <v>130</v>
      </c>
      <c r="Y57" s="147" t="s">
        <v>164</v>
      </c>
    </row>
    <row r="58" spans="1:26" ht="16.5" thickTop="1" thickBot="1">
      <c r="A58" s="78" t="s">
        <v>231</v>
      </c>
      <c r="B58" s="78" t="s">
        <v>233</v>
      </c>
      <c r="C58" s="245">
        <v>20</v>
      </c>
      <c r="D58" s="78" t="s">
        <v>102</v>
      </c>
      <c r="E58" s="214">
        <v>0</v>
      </c>
      <c r="F58" s="246">
        <v>2.8571</v>
      </c>
      <c r="G58" s="230">
        <f t="shared" si="20"/>
        <v>0</v>
      </c>
      <c r="H58" s="68">
        <v>0</v>
      </c>
      <c r="I58" s="96">
        <f t="shared" si="21"/>
        <v>0</v>
      </c>
      <c r="J58" s="76">
        <f t="shared" si="22"/>
        <v>0</v>
      </c>
      <c r="K58" s="80"/>
      <c r="L58" s="70">
        <f>IF( $B$3 = 1,  SUM(G57:G58), SUM(H57:H58) )</f>
        <v>0</v>
      </c>
      <c r="M58" s="97">
        <f>+I57+I58</f>
        <v>0</v>
      </c>
      <c r="N58" s="69">
        <f>+J57+J58</f>
        <v>0</v>
      </c>
      <c r="O58" s="86" t="str">
        <f>+A58</f>
        <v>SCALA</v>
      </c>
      <c r="P58" s="148"/>
      <c r="Q58" s="84"/>
      <c r="R58" s="41"/>
      <c r="S58" s="42"/>
      <c r="T58" s="43"/>
      <c r="U58" s="35" t="s">
        <v>103</v>
      </c>
      <c r="V58" s="35" t="s">
        <v>104</v>
      </c>
      <c r="X58" s="36" t="s">
        <v>130</v>
      </c>
      <c r="Y58" s="147" t="s">
        <v>234</v>
      </c>
    </row>
    <row r="59" spans="1:26" ht="16.5" thickTop="1" thickBot="1">
      <c r="A59" s="226" t="s">
        <v>235</v>
      </c>
      <c r="B59" s="78" t="s">
        <v>236</v>
      </c>
      <c r="C59" s="245">
        <v>23</v>
      </c>
      <c r="D59" s="78" t="s">
        <v>108</v>
      </c>
      <c r="E59" s="214">
        <v>0</v>
      </c>
      <c r="F59" s="215">
        <v>1</v>
      </c>
      <c r="G59" s="230">
        <f t="shared" si="20"/>
        <v>0</v>
      </c>
      <c r="H59" s="68">
        <v>0</v>
      </c>
      <c r="I59" s="96">
        <f t="shared" si="21"/>
        <v>0</v>
      </c>
      <c r="J59" s="76">
        <f t="shared" si="22"/>
        <v>0</v>
      </c>
      <c r="K59" s="80"/>
      <c r="L59" s="70">
        <f>IF( $B$3 = 1,  G59,H59 )</f>
        <v>0</v>
      </c>
      <c r="M59" s="97">
        <f t="shared" ref="M59:N62" si="23">+I59</f>
        <v>0</v>
      </c>
      <c r="N59" s="69">
        <f t="shared" si="23"/>
        <v>0</v>
      </c>
      <c r="O59" s="86" t="str">
        <f>+A59</f>
        <v>SENCOR</v>
      </c>
      <c r="P59" s="88"/>
      <c r="Q59" s="84"/>
      <c r="R59" s="41"/>
      <c r="S59" s="42"/>
      <c r="T59" s="43" t="s">
        <v>172</v>
      </c>
      <c r="U59" s="35" t="s">
        <v>103</v>
      </c>
      <c r="V59" s="35" t="s">
        <v>104</v>
      </c>
      <c r="X59" s="36" t="s">
        <v>112</v>
      </c>
      <c r="Y59" s="147" t="s">
        <v>237</v>
      </c>
    </row>
    <row r="60" spans="1:26" ht="16.5" thickTop="1" thickBot="1">
      <c r="A60" s="226" t="s">
        <v>238</v>
      </c>
      <c r="B60" s="78" t="s">
        <v>239</v>
      </c>
      <c r="C60" s="78">
        <v>28</v>
      </c>
      <c r="D60" s="78" t="s">
        <v>108</v>
      </c>
      <c r="E60" s="214">
        <v>0</v>
      </c>
      <c r="F60" s="215">
        <v>1</v>
      </c>
      <c r="G60" s="230">
        <f t="shared" si="20"/>
        <v>0</v>
      </c>
      <c r="H60" s="68">
        <v>0</v>
      </c>
      <c r="I60" s="96">
        <f t="shared" si="21"/>
        <v>0</v>
      </c>
      <c r="J60" s="76">
        <f t="shared" si="22"/>
        <v>0</v>
      </c>
      <c r="K60" s="80"/>
      <c r="L60" s="70">
        <f>IF( $B$3 = 1,  G60,H60 )</f>
        <v>0</v>
      </c>
      <c r="M60" s="97">
        <f t="shared" si="23"/>
        <v>0</v>
      </c>
      <c r="N60" s="69">
        <f t="shared" si="23"/>
        <v>0</v>
      </c>
      <c r="O60" s="86" t="str">
        <f>+A60</f>
        <v>SENCOR 75 DF</v>
      </c>
      <c r="P60" s="148"/>
      <c r="Q60" s="84"/>
      <c r="R60" s="41"/>
      <c r="S60" s="42"/>
      <c r="T60" s="43"/>
      <c r="U60" s="35" t="s">
        <v>103</v>
      </c>
      <c r="V60" s="35" t="s">
        <v>104</v>
      </c>
      <c r="X60" s="36" t="s">
        <v>112</v>
      </c>
      <c r="Y60" s="147" t="s">
        <v>237</v>
      </c>
      <c r="Z60" s="16" t="s">
        <v>155</v>
      </c>
    </row>
    <row r="61" spans="1:26" ht="16.5" thickTop="1" thickBot="1">
      <c r="A61" s="226" t="s">
        <v>240</v>
      </c>
      <c r="B61" s="78" t="s">
        <v>241</v>
      </c>
      <c r="C61" s="78">
        <v>1323</v>
      </c>
      <c r="D61" s="78" t="s">
        <v>108</v>
      </c>
      <c r="E61" s="214">
        <v>0</v>
      </c>
      <c r="F61" s="78">
        <v>1</v>
      </c>
      <c r="G61" s="230">
        <f t="shared" si="20"/>
        <v>0</v>
      </c>
      <c r="H61" s="68">
        <v>0</v>
      </c>
      <c r="I61" s="96">
        <f t="shared" si="21"/>
        <v>0</v>
      </c>
      <c r="J61" s="76">
        <f t="shared" si="22"/>
        <v>0</v>
      </c>
      <c r="K61" s="80"/>
      <c r="L61" s="70">
        <f>IF( $B$3 = 1,  G61,H61 )</f>
        <v>0</v>
      </c>
      <c r="M61" s="97">
        <f t="shared" si="23"/>
        <v>0</v>
      </c>
      <c r="N61" s="69">
        <f t="shared" si="23"/>
        <v>0</v>
      </c>
      <c r="O61" s="86" t="str">
        <f>+A61</f>
        <v>STRESS SHIELD</v>
      </c>
      <c r="P61" s="148"/>
      <c r="Q61" s="84"/>
      <c r="R61" s="41"/>
      <c r="S61" s="42"/>
      <c r="T61" s="43"/>
      <c r="U61" s="35" t="s">
        <v>103</v>
      </c>
      <c r="V61" s="35" t="s">
        <v>104</v>
      </c>
      <c r="X61" s="36" t="s">
        <v>136</v>
      </c>
      <c r="Y61" s="147" t="s">
        <v>242</v>
      </c>
    </row>
    <row r="62" spans="1:26" ht="16.5" thickTop="1" thickBot="1">
      <c r="A62" s="78" t="s">
        <v>243</v>
      </c>
      <c r="B62" s="78" t="s">
        <v>244</v>
      </c>
      <c r="C62" s="78">
        <v>10</v>
      </c>
      <c r="D62" s="78" t="s">
        <v>108</v>
      </c>
      <c r="E62" s="214">
        <v>0</v>
      </c>
      <c r="F62" s="78">
        <v>1</v>
      </c>
      <c r="G62" s="230">
        <f t="shared" si="20"/>
        <v>0</v>
      </c>
      <c r="H62" s="68">
        <v>0</v>
      </c>
      <c r="I62" s="96">
        <f t="shared" si="21"/>
        <v>0</v>
      </c>
      <c r="J62" s="76">
        <f t="shared" si="22"/>
        <v>0</v>
      </c>
      <c r="K62" s="80"/>
      <c r="L62" s="70">
        <f>IF( $B$3 = 1,  G62,H62 )</f>
        <v>0</v>
      </c>
      <c r="M62" s="97">
        <f t="shared" si="23"/>
        <v>0</v>
      </c>
      <c r="N62" s="69">
        <f t="shared" si="23"/>
        <v>0</v>
      </c>
      <c r="O62" s="86" t="str">
        <f>+A62</f>
        <v>SIVANTO PRIME</v>
      </c>
      <c r="P62" s="148"/>
      <c r="Q62" s="84"/>
      <c r="R62" s="41"/>
      <c r="S62" s="42"/>
      <c r="T62" s="43"/>
      <c r="U62" s="35" t="s">
        <v>103</v>
      </c>
      <c r="V62" s="35" t="s">
        <v>104</v>
      </c>
      <c r="X62" s="36" t="s">
        <v>130</v>
      </c>
      <c r="Y62" s="147" t="s">
        <v>164</v>
      </c>
    </row>
    <row r="63" spans="1:26" ht="16.5" thickTop="1" thickBot="1">
      <c r="A63" s="226" t="s">
        <v>245</v>
      </c>
      <c r="B63" s="78" t="s">
        <v>246</v>
      </c>
      <c r="C63" s="78">
        <v>20</v>
      </c>
      <c r="D63" s="78" t="s">
        <v>108</v>
      </c>
      <c r="E63" s="214">
        <v>0</v>
      </c>
      <c r="F63" s="78">
        <v>1</v>
      </c>
      <c r="G63" s="230">
        <f t="shared" si="20"/>
        <v>0</v>
      </c>
      <c r="H63" s="68">
        <v>0</v>
      </c>
      <c r="I63" s="96">
        <f t="shared" si="21"/>
        <v>0</v>
      </c>
      <c r="J63" s="76">
        <f t="shared" si="22"/>
        <v>0</v>
      </c>
      <c r="K63" s="80"/>
      <c r="L63" s="70"/>
      <c r="M63" s="97"/>
      <c r="N63" s="69"/>
      <c r="O63" s="86"/>
      <c r="P63" s="148"/>
      <c r="Q63" s="84"/>
      <c r="R63" s="41"/>
      <c r="S63" s="42"/>
      <c r="T63" s="43"/>
      <c r="U63" s="35" t="s">
        <v>103</v>
      </c>
      <c r="V63" s="35" t="s">
        <v>104</v>
      </c>
      <c r="X63" s="36" t="s">
        <v>112</v>
      </c>
      <c r="Y63" s="147" t="s">
        <v>120</v>
      </c>
    </row>
    <row r="64" spans="1:26" ht="16.5" thickTop="1" thickBot="1">
      <c r="A64" s="226" t="s">
        <v>245</v>
      </c>
      <c r="B64" s="78" t="s">
        <v>247</v>
      </c>
      <c r="C64" s="78">
        <v>320</v>
      </c>
      <c r="D64" s="78" t="s">
        <v>102</v>
      </c>
      <c r="E64" s="214">
        <v>0</v>
      </c>
      <c r="F64" s="78">
        <v>16</v>
      </c>
      <c r="G64" s="230">
        <f t="shared" si="20"/>
        <v>0</v>
      </c>
      <c r="H64" s="68">
        <v>0</v>
      </c>
      <c r="I64" s="96">
        <f t="shared" si="21"/>
        <v>0</v>
      </c>
      <c r="J64" s="76">
        <f t="shared" si="22"/>
        <v>0</v>
      </c>
      <c r="K64" s="80"/>
      <c r="L64" s="70"/>
      <c r="M64" s="97"/>
      <c r="N64" s="69"/>
      <c r="O64" s="86"/>
      <c r="P64" s="148"/>
      <c r="Q64" s="84"/>
      <c r="R64" s="41"/>
      <c r="S64" s="42"/>
      <c r="T64" s="43"/>
      <c r="U64" s="35" t="s">
        <v>103</v>
      </c>
      <c r="V64" s="35" t="s">
        <v>104</v>
      </c>
      <c r="X64" s="36" t="s">
        <v>112</v>
      </c>
      <c r="Y64" s="147" t="s">
        <v>122</v>
      </c>
    </row>
    <row r="65" spans="1:25" ht="16.5" thickTop="1" thickBot="1">
      <c r="A65" s="226" t="s">
        <v>245</v>
      </c>
      <c r="B65" s="78" t="s">
        <v>248</v>
      </c>
      <c r="C65" s="78">
        <v>1000</v>
      </c>
      <c r="D65" s="78" t="s">
        <v>102</v>
      </c>
      <c r="E65" s="214">
        <v>0</v>
      </c>
      <c r="F65" s="78">
        <v>50</v>
      </c>
      <c r="G65" s="230">
        <f t="shared" si="20"/>
        <v>0</v>
      </c>
      <c r="H65" s="68">
        <v>0</v>
      </c>
      <c r="I65" s="96">
        <f t="shared" si="21"/>
        <v>0</v>
      </c>
      <c r="J65" s="76">
        <f t="shared" si="22"/>
        <v>0</v>
      </c>
      <c r="K65" s="80"/>
      <c r="L65" s="70">
        <f>IF( $B$3 = 1,  SUM(G63:G65), SUM(H63:H65) )</f>
        <v>0</v>
      </c>
      <c r="M65" s="97">
        <f>SUM(I63:I65)</f>
        <v>0</v>
      </c>
      <c r="N65" s="69">
        <f>SUM(J63:J65)</f>
        <v>0</v>
      </c>
      <c r="O65" s="86" t="str">
        <f>+A65</f>
        <v>THUMPER</v>
      </c>
      <c r="P65" s="148"/>
      <c r="Q65" s="84"/>
      <c r="R65" s="41"/>
      <c r="S65" s="42"/>
      <c r="T65" s="43"/>
      <c r="U65" s="35" t="s">
        <v>103</v>
      </c>
      <c r="V65" s="35" t="s">
        <v>104</v>
      </c>
      <c r="X65" s="36" t="s">
        <v>112</v>
      </c>
      <c r="Y65" s="147" t="s">
        <v>124</v>
      </c>
    </row>
    <row r="66" spans="1:25" ht="16.5" thickTop="1" thickBot="1">
      <c r="A66" s="226" t="s">
        <v>249</v>
      </c>
      <c r="B66" s="78" t="s">
        <v>250</v>
      </c>
      <c r="C66" s="78">
        <v>40</v>
      </c>
      <c r="D66" s="78" t="s">
        <v>108</v>
      </c>
      <c r="E66" s="214">
        <v>0</v>
      </c>
      <c r="F66" s="78">
        <v>1</v>
      </c>
      <c r="G66" s="230">
        <f t="shared" ref="G66" si="24">IF(B$3 =1, H66*C66, H66/C66)</f>
        <v>0</v>
      </c>
      <c r="H66" s="68">
        <v>0</v>
      </c>
      <c r="I66" s="96">
        <f t="shared" ref="I66" si="25">IF(B$3 = 1, H66*E66, (H66/C66) *E66)</f>
        <v>0</v>
      </c>
      <c r="J66" s="76">
        <f t="shared" ref="J66" si="26">IF($B$3 =1, H66*F66, (H66/C66) *F66)</f>
        <v>0</v>
      </c>
      <c r="K66" s="80"/>
      <c r="L66" s="70">
        <f>IF( $B$3 = 1,  G66,H66 )</f>
        <v>0</v>
      </c>
      <c r="M66" s="97">
        <f t="shared" ref="M66" si="27">+I66</f>
        <v>0</v>
      </c>
      <c r="N66" s="69">
        <f t="shared" ref="N66" si="28">+J66</f>
        <v>0</v>
      </c>
      <c r="O66" s="86" t="str">
        <f>+A66</f>
        <v>TILMOR</v>
      </c>
      <c r="P66" s="148"/>
      <c r="Q66" s="84"/>
      <c r="R66" s="41"/>
      <c r="S66" s="42"/>
      <c r="T66" s="43"/>
      <c r="U66" s="35" t="s">
        <v>103</v>
      </c>
      <c r="V66" s="35" t="s">
        <v>104</v>
      </c>
      <c r="X66" s="36" t="s">
        <v>130</v>
      </c>
      <c r="Y66" s="147" t="s">
        <v>251</v>
      </c>
    </row>
    <row r="67" spans="1:25" ht="16.5" thickTop="1" thickBot="1">
      <c r="A67" s="226" t="s">
        <v>252</v>
      </c>
      <c r="B67" s="78" t="s">
        <v>253</v>
      </c>
      <c r="C67" s="78">
        <v>110</v>
      </c>
      <c r="D67" s="78" t="s">
        <v>108</v>
      </c>
      <c r="E67" s="214">
        <v>0</v>
      </c>
      <c r="F67" s="78">
        <v>1</v>
      </c>
      <c r="G67" s="230">
        <f t="shared" si="20"/>
        <v>0</v>
      </c>
      <c r="H67" s="68">
        <v>0</v>
      </c>
      <c r="I67" s="96">
        <f t="shared" si="21"/>
        <v>0</v>
      </c>
      <c r="J67" s="76">
        <f t="shared" si="22"/>
        <v>0</v>
      </c>
      <c r="K67" s="80"/>
      <c r="L67" s="70"/>
      <c r="M67" s="97"/>
      <c r="N67" s="69"/>
      <c r="O67" s="86"/>
      <c r="P67" s="148"/>
      <c r="Q67" s="84"/>
      <c r="R67" s="41"/>
      <c r="S67" s="42"/>
      <c r="T67" s="43"/>
      <c r="U67" s="35" t="s">
        <v>103</v>
      </c>
      <c r="V67" s="35" t="s">
        <v>104</v>
      </c>
      <c r="X67" s="36" t="s">
        <v>136</v>
      </c>
      <c r="Y67" s="147" t="s">
        <v>254</v>
      </c>
    </row>
    <row r="68" spans="1:25" ht="16.5" thickTop="1" thickBot="1">
      <c r="A68" s="78" t="s">
        <v>252</v>
      </c>
      <c r="B68" s="78" t="s">
        <v>255</v>
      </c>
      <c r="C68" s="244">
        <v>475.93</v>
      </c>
      <c r="D68" s="78" t="s">
        <v>102</v>
      </c>
      <c r="E68" s="214">
        <v>0</v>
      </c>
      <c r="F68" s="78">
        <v>4.3266999999999998</v>
      </c>
      <c r="G68" s="230">
        <f t="shared" si="20"/>
        <v>0</v>
      </c>
      <c r="H68" s="68">
        <v>0</v>
      </c>
      <c r="I68" s="96">
        <f t="shared" si="21"/>
        <v>0</v>
      </c>
      <c r="J68" s="76">
        <f t="shared" si="22"/>
        <v>0</v>
      </c>
      <c r="K68" s="80"/>
      <c r="L68" s="70">
        <f>IF( $B$3 = 1,  SUM(G67:G68), SUM(H67:H68) )</f>
        <v>0</v>
      </c>
      <c r="M68" s="97">
        <f>SUM(I67:I68)</f>
        <v>0</v>
      </c>
      <c r="N68" s="69">
        <f>SUM(J67:J68)</f>
        <v>0</v>
      </c>
      <c r="O68" s="86" t="str">
        <f>+A67</f>
        <v>TRILEX EVERGOL</v>
      </c>
      <c r="P68" s="148"/>
      <c r="Q68" s="84"/>
      <c r="R68" s="41"/>
      <c r="S68" s="42"/>
      <c r="T68" s="43"/>
      <c r="U68" s="35" t="s">
        <v>103</v>
      </c>
      <c r="V68" s="35" t="s">
        <v>104</v>
      </c>
      <c r="X68" s="36" t="s">
        <v>136</v>
      </c>
      <c r="Y68" s="147" t="s">
        <v>256</v>
      </c>
    </row>
    <row r="69" spans="1:25" ht="16.5" thickTop="1" thickBot="1">
      <c r="A69" s="226" t="s">
        <v>257</v>
      </c>
      <c r="B69" s="78" t="s">
        <v>258</v>
      </c>
      <c r="C69" s="78">
        <v>110</v>
      </c>
      <c r="D69" s="78" t="s">
        <v>108</v>
      </c>
      <c r="E69" s="214">
        <v>0</v>
      </c>
      <c r="F69" s="78">
        <v>1</v>
      </c>
      <c r="G69" s="230">
        <f t="shared" si="20"/>
        <v>0</v>
      </c>
      <c r="H69" s="68">
        <v>0</v>
      </c>
      <c r="I69" s="96">
        <f t="shared" si="21"/>
        <v>0</v>
      </c>
      <c r="J69" s="76">
        <f t="shared" si="22"/>
        <v>0</v>
      </c>
      <c r="K69" s="80"/>
      <c r="L69" s="70">
        <f>IF( $B$3 = 1,  G69,H69 )</f>
        <v>0</v>
      </c>
      <c r="M69" s="97">
        <f t="shared" ref="M69" si="29">+I69</f>
        <v>0</v>
      </c>
      <c r="N69" s="69">
        <f t="shared" ref="N69" si="30">+J69</f>
        <v>0</v>
      </c>
      <c r="O69" s="86" t="str">
        <f>+A69</f>
        <v>TRILEX EVERGOL SHIELD</v>
      </c>
      <c r="P69" s="148"/>
      <c r="Q69" s="84"/>
      <c r="R69" s="41"/>
      <c r="S69" s="42"/>
      <c r="T69" s="43"/>
      <c r="U69" s="35" t="s">
        <v>103</v>
      </c>
      <c r="V69" s="35" t="s">
        <v>104</v>
      </c>
      <c r="X69" s="36" t="s">
        <v>136</v>
      </c>
      <c r="Y69" s="147" t="s">
        <v>259</v>
      </c>
    </row>
    <row r="70" spans="1:25" ht="16.5" thickTop="1" thickBot="1">
      <c r="A70" s="226" t="s">
        <v>260</v>
      </c>
      <c r="B70" s="78" t="s">
        <v>261</v>
      </c>
      <c r="C70" s="78">
        <v>10</v>
      </c>
      <c r="D70" s="78" t="s">
        <v>108</v>
      </c>
      <c r="E70" s="214">
        <v>0</v>
      </c>
      <c r="F70" s="78">
        <v>1</v>
      </c>
      <c r="G70" s="230">
        <f t="shared" si="20"/>
        <v>0</v>
      </c>
      <c r="H70" s="68">
        <v>0</v>
      </c>
      <c r="I70" s="96">
        <f t="shared" si="21"/>
        <v>0</v>
      </c>
      <c r="J70" s="76">
        <f t="shared" si="22"/>
        <v>0</v>
      </c>
      <c r="K70" s="80"/>
      <c r="L70" s="70"/>
      <c r="M70" s="97"/>
      <c r="N70" s="69"/>
      <c r="O70" s="86"/>
      <c r="P70" s="148"/>
      <c r="Q70" s="84"/>
      <c r="R70" s="41"/>
      <c r="S70" s="42"/>
      <c r="T70" s="43"/>
      <c r="U70" s="35" t="s">
        <v>103</v>
      </c>
      <c r="V70" s="35" t="s">
        <v>104</v>
      </c>
      <c r="X70" s="36" t="s">
        <v>112</v>
      </c>
      <c r="Y70" s="147" t="s">
        <v>143</v>
      </c>
    </row>
    <row r="71" spans="1:25" ht="16.5" thickTop="1" thickBot="1">
      <c r="A71" s="226" t="s">
        <v>260</v>
      </c>
      <c r="B71" s="78" t="s">
        <v>262</v>
      </c>
      <c r="C71" s="78">
        <v>160</v>
      </c>
      <c r="D71" s="78" t="s">
        <v>102</v>
      </c>
      <c r="E71" s="214">
        <v>0</v>
      </c>
      <c r="F71" s="78">
        <v>16</v>
      </c>
      <c r="G71" s="230">
        <f t="shared" si="20"/>
        <v>0</v>
      </c>
      <c r="H71" s="68">
        <v>0</v>
      </c>
      <c r="I71" s="96">
        <f t="shared" si="21"/>
        <v>0</v>
      </c>
      <c r="J71" s="76">
        <f t="shared" si="22"/>
        <v>0</v>
      </c>
      <c r="K71" s="80"/>
      <c r="L71" s="70"/>
      <c r="M71" s="97"/>
      <c r="N71" s="69"/>
      <c r="O71" s="86"/>
      <c r="P71" s="148"/>
      <c r="Q71" s="84"/>
      <c r="R71" s="41"/>
      <c r="S71" s="42"/>
      <c r="T71" s="43"/>
      <c r="U71" s="35" t="s">
        <v>103</v>
      </c>
      <c r="V71" s="35" t="s">
        <v>104</v>
      </c>
      <c r="X71" s="36" t="s">
        <v>112</v>
      </c>
      <c r="Y71" s="147" t="s">
        <v>160</v>
      </c>
    </row>
    <row r="72" spans="1:25" ht="16.5" thickTop="1" thickBot="1">
      <c r="A72" s="226" t="s">
        <v>260</v>
      </c>
      <c r="B72" s="78" t="s">
        <v>263</v>
      </c>
      <c r="C72" s="78">
        <v>500</v>
      </c>
      <c r="D72" s="78" t="s">
        <v>102</v>
      </c>
      <c r="E72" s="214">
        <v>0</v>
      </c>
      <c r="F72" s="78">
        <v>50</v>
      </c>
      <c r="G72" s="230">
        <f t="shared" si="20"/>
        <v>0</v>
      </c>
      <c r="H72" s="68">
        <v>0</v>
      </c>
      <c r="I72" s="96">
        <f t="shared" si="21"/>
        <v>0</v>
      </c>
      <c r="J72" s="76">
        <f t="shared" si="22"/>
        <v>0</v>
      </c>
      <c r="K72" s="80"/>
      <c r="L72" s="70">
        <f>IF( $B$3 = 1,  SUM(G70:G72), SUM(H70:H72) )</f>
        <v>0</v>
      </c>
      <c r="M72" s="97">
        <f>SUM(I70:I72)</f>
        <v>0</v>
      </c>
      <c r="N72" s="69">
        <f>SUM(J70:J72)</f>
        <v>0</v>
      </c>
      <c r="O72" s="86" t="str">
        <f>+A72</f>
        <v>TUNDRA</v>
      </c>
      <c r="P72" s="148"/>
      <c r="Q72" s="84"/>
      <c r="R72" s="41"/>
      <c r="S72" s="42"/>
      <c r="T72" s="43"/>
      <c r="U72" s="35" t="s">
        <v>103</v>
      </c>
      <c r="V72" s="35" t="s">
        <v>104</v>
      </c>
      <c r="X72" s="36" t="s">
        <v>112</v>
      </c>
      <c r="Y72" s="147" t="s">
        <v>157</v>
      </c>
    </row>
    <row r="73" spans="1:25" ht="16.5" thickTop="1" thickBot="1">
      <c r="A73" s="226" t="s">
        <v>264</v>
      </c>
      <c r="B73" s="78" t="s">
        <v>265</v>
      </c>
      <c r="C73" s="78">
        <v>40</v>
      </c>
      <c r="D73" s="78" t="s">
        <v>108</v>
      </c>
      <c r="E73" s="214">
        <v>0</v>
      </c>
      <c r="F73" s="78">
        <v>1</v>
      </c>
      <c r="G73" s="230">
        <f t="shared" si="20"/>
        <v>0</v>
      </c>
      <c r="H73" s="68">
        <v>0</v>
      </c>
      <c r="I73" s="96">
        <f t="shared" si="21"/>
        <v>0</v>
      </c>
      <c r="J73" s="76">
        <f t="shared" si="22"/>
        <v>0</v>
      </c>
      <c r="K73" s="80"/>
      <c r="L73" s="70"/>
      <c r="M73" s="97"/>
      <c r="N73" s="69"/>
      <c r="O73" s="86" t="s">
        <v>119</v>
      </c>
      <c r="P73" s="148"/>
      <c r="Q73" s="84"/>
      <c r="R73" s="41"/>
      <c r="S73" s="42"/>
      <c r="T73" s="43"/>
      <c r="U73" s="35" t="s">
        <v>103</v>
      </c>
      <c r="V73" s="35" t="s">
        <v>104</v>
      </c>
      <c r="X73" s="36" t="s">
        <v>112</v>
      </c>
      <c r="Y73" s="147" t="s">
        <v>120</v>
      </c>
    </row>
    <row r="74" spans="1:25" ht="16.5" thickTop="1" thickBot="1">
      <c r="A74" s="226" t="s">
        <v>264</v>
      </c>
      <c r="B74" s="78" t="s">
        <v>266</v>
      </c>
      <c r="C74" s="78">
        <v>640</v>
      </c>
      <c r="D74" s="78" t="s">
        <v>102</v>
      </c>
      <c r="E74" s="214">
        <v>0</v>
      </c>
      <c r="F74" s="78">
        <v>16</v>
      </c>
      <c r="G74" s="230">
        <f t="shared" si="20"/>
        <v>0</v>
      </c>
      <c r="H74" s="68">
        <v>0</v>
      </c>
      <c r="I74" s="96">
        <f t="shared" si="21"/>
        <v>0</v>
      </c>
      <c r="J74" s="76">
        <f t="shared" si="22"/>
        <v>0</v>
      </c>
      <c r="K74" s="80"/>
      <c r="L74" s="70">
        <f>IF( $B$3 = 1,  SUM(G73:G74), SUM(H73:H74) )</f>
        <v>0</v>
      </c>
      <c r="M74" s="97">
        <f>SUM(I73:I74)</f>
        <v>0</v>
      </c>
      <c r="N74" s="69">
        <f>SUM(J73:J74)</f>
        <v>0</v>
      </c>
      <c r="O74" s="86" t="str">
        <f>+A74</f>
        <v>VARRO</v>
      </c>
      <c r="P74" s="148"/>
      <c r="Q74" s="84"/>
      <c r="R74" s="41"/>
      <c r="S74" s="42"/>
      <c r="T74" s="43"/>
      <c r="U74" s="35" t="s">
        <v>103</v>
      </c>
      <c r="V74" s="35" t="s">
        <v>104</v>
      </c>
      <c r="X74" s="36" t="s">
        <v>112</v>
      </c>
      <c r="Y74" s="147" t="s">
        <v>122</v>
      </c>
    </row>
    <row r="75" spans="1:25" ht="16.5" thickTop="1" thickBot="1">
      <c r="A75" s="226" t="s">
        <v>267</v>
      </c>
      <c r="B75" s="78" t="s">
        <v>268</v>
      </c>
      <c r="C75" s="78">
        <v>20</v>
      </c>
      <c r="D75" s="78" t="s">
        <v>108</v>
      </c>
      <c r="E75" s="214">
        <v>0</v>
      </c>
      <c r="F75" s="78">
        <v>1</v>
      </c>
      <c r="G75" s="230">
        <f t="shared" si="20"/>
        <v>0</v>
      </c>
      <c r="H75" s="68">
        <v>0</v>
      </c>
      <c r="I75" s="96">
        <f t="shared" si="21"/>
        <v>0</v>
      </c>
      <c r="J75" s="76">
        <f t="shared" si="22"/>
        <v>0</v>
      </c>
      <c r="K75" s="80"/>
      <c r="L75" s="70">
        <f>IF( $B$3 = 1,  G75,H75 )</f>
        <v>0</v>
      </c>
      <c r="M75" s="97">
        <f>+I75</f>
        <v>0</v>
      </c>
      <c r="N75" s="69">
        <f>+J75</f>
        <v>0</v>
      </c>
      <c r="O75" s="86" t="str">
        <f>+A75</f>
        <v>VELUM PRIME</v>
      </c>
      <c r="P75" s="148"/>
      <c r="Q75" s="84"/>
      <c r="R75" s="41"/>
      <c r="S75" s="42"/>
      <c r="T75" s="43"/>
      <c r="U75" s="35" t="s">
        <v>103</v>
      </c>
      <c r="V75" s="35" t="s">
        <v>104</v>
      </c>
      <c r="X75" s="36" t="s">
        <v>130</v>
      </c>
      <c r="Y75" s="147" t="s">
        <v>269</v>
      </c>
    </row>
    <row r="76" spans="1:25" ht="16.5" thickTop="1" thickBot="1">
      <c r="A76" s="226" t="s">
        <v>270</v>
      </c>
      <c r="B76" s="78" t="s">
        <v>271</v>
      </c>
      <c r="C76" s="78">
        <v>20</v>
      </c>
      <c r="D76" s="78" t="s">
        <v>108</v>
      </c>
      <c r="E76" s="214">
        <v>0</v>
      </c>
      <c r="F76" s="78">
        <v>1</v>
      </c>
      <c r="G76" s="230">
        <f t="shared" si="20"/>
        <v>0</v>
      </c>
      <c r="H76" s="68">
        <v>0</v>
      </c>
      <c r="I76" s="96">
        <f t="shared" si="21"/>
        <v>0</v>
      </c>
      <c r="J76" s="76">
        <f t="shared" si="22"/>
        <v>0</v>
      </c>
      <c r="K76" s="80"/>
      <c r="L76" s="70"/>
      <c r="M76" s="97"/>
      <c r="N76" s="69"/>
      <c r="O76" s="86"/>
      <c r="P76" s="148"/>
      <c r="Q76" s="84"/>
      <c r="R76" s="41"/>
      <c r="S76" s="42"/>
      <c r="T76" s="43"/>
      <c r="U76" s="35" t="s">
        <v>103</v>
      </c>
      <c r="V76" s="35" t="s">
        <v>104</v>
      </c>
      <c r="X76" s="36" t="s">
        <v>112</v>
      </c>
      <c r="Y76" s="147" t="s">
        <v>143</v>
      </c>
    </row>
    <row r="77" spans="1:25" ht="16.5" thickTop="1" thickBot="1">
      <c r="A77" s="226" t="s">
        <v>270</v>
      </c>
      <c r="B77" s="78" t="s">
        <v>272</v>
      </c>
      <c r="C77" s="78">
        <v>320</v>
      </c>
      <c r="D77" s="78" t="s">
        <v>102</v>
      </c>
      <c r="E77" s="214">
        <v>0</v>
      </c>
      <c r="F77" s="78">
        <v>16</v>
      </c>
      <c r="G77" s="230">
        <f t="shared" si="20"/>
        <v>0</v>
      </c>
      <c r="H77" s="68">
        <v>0</v>
      </c>
      <c r="I77" s="96">
        <f t="shared" si="21"/>
        <v>0</v>
      </c>
      <c r="J77" s="76">
        <f t="shared" si="22"/>
        <v>0</v>
      </c>
      <c r="K77" s="80"/>
      <c r="L77" s="70">
        <f>IF( $B$3 = 1,  SUM(G76:G77), SUM(H76:H77) )</f>
        <v>0</v>
      </c>
      <c r="M77" s="97">
        <f>SUM(I76:I77)</f>
        <v>0</v>
      </c>
      <c r="N77" s="69">
        <f>SUM(J76:J77)</f>
        <v>0</v>
      </c>
      <c r="O77" s="86" t="str">
        <f>+A77</f>
        <v>VELOCITY</v>
      </c>
      <c r="P77" s="148"/>
      <c r="Q77" s="84"/>
      <c r="R77" s="41"/>
      <c r="S77" s="42"/>
      <c r="T77" s="43"/>
      <c r="U77" s="35" t="s">
        <v>103</v>
      </c>
      <c r="V77" s="35" t="s">
        <v>104</v>
      </c>
      <c r="X77" s="36" t="s">
        <v>112</v>
      </c>
      <c r="Y77" s="147" t="s">
        <v>160</v>
      </c>
    </row>
    <row r="78" spans="1:25" ht="16.5" thickTop="1" thickBot="1">
      <c r="A78" s="78" t="s">
        <v>273</v>
      </c>
      <c r="B78" s="78" t="s">
        <v>274</v>
      </c>
      <c r="C78" s="78">
        <v>15</v>
      </c>
      <c r="D78" s="78" t="s">
        <v>108</v>
      </c>
      <c r="E78" s="214">
        <v>0</v>
      </c>
      <c r="F78" s="78">
        <v>1</v>
      </c>
      <c r="G78" s="230">
        <f t="shared" si="20"/>
        <v>0</v>
      </c>
      <c r="H78" s="68">
        <v>0</v>
      </c>
      <c r="I78" s="96">
        <f t="shared" si="21"/>
        <v>0</v>
      </c>
      <c r="J78" s="76">
        <f t="shared" si="22"/>
        <v>0</v>
      </c>
      <c r="K78" s="80"/>
      <c r="L78" s="70"/>
      <c r="M78" s="97"/>
      <c r="N78" s="69"/>
      <c r="O78" s="86"/>
      <c r="P78" s="148"/>
      <c r="Q78" s="84"/>
      <c r="R78" s="41"/>
      <c r="S78" s="42"/>
      <c r="T78" s="43"/>
      <c r="U78" s="35" t="s">
        <v>103</v>
      </c>
      <c r="V78" s="35" t="s">
        <v>104</v>
      </c>
      <c r="X78" s="36" t="s">
        <v>112</v>
      </c>
      <c r="Y78" s="147" t="s">
        <v>116</v>
      </c>
    </row>
    <row r="79" spans="1:25" ht="16.5" thickTop="1" thickBot="1">
      <c r="A79" s="78" t="s">
        <v>273</v>
      </c>
      <c r="B79" s="78" t="s">
        <v>275</v>
      </c>
      <c r="C79" s="78">
        <v>675</v>
      </c>
      <c r="D79" s="78" t="s">
        <v>102</v>
      </c>
      <c r="E79" s="214">
        <v>0</v>
      </c>
      <c r="F79" s="78">
        <v>45</v>
      </c>
      <c r="G79" s="230">
        <f>IF(B$3 =1, H79*C79, H79/C79)</f>
        <v>0</v>
      </c>
      <c r="H79" s="68">
        <v>0</v>
      </c>
      <c r="I79" s="96">
        <f>IF(B$3 = 1, H79*E79, (H79/C79) *E79)</f>
        <v>0</v>
      </c>
      <c r="J79" s="76">
        <f>IF($B$3 =1, H79*F79, (H79/C79) *F79)</f>
        <v>0</v>
      </c>
      <c r="K79" s="80"/>
      <c r="L79" s="70">
        <f>IF( $B$3 = 1,  SUM(G78:G79), SUM(H78:H79) )</f>
        <v>0</v>
      </c>
      <c r="M79" s="97">
        <f>SUM(I78:I79)</f>
        <v>0</v>
      </c>
      <c r="N79" s="69">
        <f>SUM(J78:J79)</f>
        <v>0</v>
      </c>
      <c r="O79" s="86" t="str">
        <f>+A79</f>
        <v>XTENDIMAX</v>
      </c>
      <c r="P79" s="148"/>
      <c r="Q79" s="84"/>
      <c r="R79" s="41"/>
      <c r="S79" s="42"/>
      <c r="T79" s="43"/>
      <c r="U79" s="35" t="s">
        <v>103</v>
      </c>
      <c r="V79" s="35" t="s">
        <v>104</v>
      </c>
      <c r="X79" s="36" t="s">
        <v>112</v>
      </c>
      <c r="Y79" s="147" t="s">
        <v>157</v>
      </c>
    </row>
    <row r="80" spans="1:25" ht="16.5" thickTop="1" thickBot="1">
      <c r="A80" s="78" t="s">
        <v>276</v>
      </c>
      <c r="B80" s="78" t="s">
        <v>277</v>
      </c>
      <c r="C80" s="78">
        <v>50</v>
      </c>
      <c r="D80" s="78" t="s">
        <v>108</v>
      </c>
      <c r="E80" s="214">
        <v>0</v>
      </c>
      <c r="F80" s="78">
        <v>1</v>
      </c>
      <c r="G80" s="230">
        <f>IF(B$3 =1, H80*C80, H80/C80)</f>
        <v>0</v>
      </c>
      <c r="H80" s="68">
        <v>0</v>
      </c>
      <c r="I80" s="96">
        <f>IF(B$3 = 1, H80*E80, (H80/C80) *E80)</f>
        <v>0</v>
      </c>
      <c r="J80" s="76">
        <f>IF($B$3 =1, H80*F80, (H80/C80) *F80)</f>
        <v>0</v>
      </c>
      <c r="K80" s="80"/>
      <c r="L80" s="70">
        <f t="shared" ref="L80:L85" si="31">IF( $B$3 = 1,  G80,H80 )</f>
        <v>0</v>
      </c>
      <c r="M80" s="97">
        <f>+I80</f>
        <v>0</v>
      </c>
      <c r="N80" s="69">
        <f>+J80</f>
        <v>0</v>
      </c>
      <c r="O80" s="86" t="str">
        <f>+A80</f>
        <v>VAYEGO</v>
      </c>
      <c r="P80" s="148"/>
      <c r="Q80" s="84"/>
      <c r="R80" s="41"/>
      <c r="S80" s="42"/>
      <c r="T80" s="43"/>
      <c r="U80" s="35" t="s">
        <v>103</v>
      </c>
      <c r="V80" s="35" t="s">
        <v>104</v>
      </c>
      <c r="X80" s="36" t="s">
        <v>136</v>
      </c>
      <c r="Y80" s="147" t="s">
        <v>278</v>
      </c>
    </row>
    <row r="81" spans="1:25" ht="16.5" thickTop="1" thickBot="1">
      <c r="A81" s="226" t="s">
        <v>279</v>
      </c>
      <c r="B81" s="247" t="s">
        <v>280</v>
      </c>
      <c r="C81" s="78">
        <v>10</v>
      </c>
      <c r="D81" s="215" t="s">
        <v>108</v>
      </c>
      <c r="E81" s="251">
        <v>0</v>
      </c>
      <c r="F81" s="78">
        <v>1</v>
      </c>
      <c r="G81" s="230">
        <f t="shared" si="20"/>
        <v>0</v>
      </c>
      <c r="H81" s="68">
        <v>0</v>
      </c>
      <c r="I81" s="96">
        <f t="shared" si="21"/>
        <v>0</v>
      </c>
      <c r="J81" s="76">
        <f t="shared" si="22"/>
        <v>0</v>
      </c>
      <c r="K81" s="80"/>
      <c r="L81" s="70">
        <f t="shared" si="31"/>
        <v>0</v>
      </c>
      <c r="M81" s="97">
        <f t="shared" ref="M81:N85" si="32">+I81</f>
        <v>0</v>
      </c>
      <c r="N81" s="69">
        <f t="shared" si="32"/>
        <v>0</v>
      </c>
      <c r="O81" s="86" t="str">
        <f>+A81</f>
        <v>Canola Trait</v>
      </c>
      <c r="P81" s="503">
        <v>44852</v>
      </c>
      <c r="Q81" s="84"/>
      <c r="R81" s="41"/>
      <c r="S81" s="42"/>
      <c r="T81" s="43"/>
      <c r="U81" s="35" t="s">
        <v>281</v>
      </c>
      <c r="V81" s="35" t="s">
        <v>282</v>
      </c>
      <c r="X81" s="36" t="s">
        <v>283</v>
      </c>
      <c r="Y81" s="147" t="s">
        <v>284</v>
      </c>
    </row>
    <row r="82" spans="1:25" ht="16.5" thickTop="1" thickBot="1">
      <c r="A82" s="226" t="s">
        <v>285</v>
      </c>
      <c r="B82" s="247" t="s">
        <v>286</v>
      </c>
      <c r="C82" s="78">
        <v>2.5</v>
      </c>
      <c r="D82" s="215" t="s">
        <v>108</v>
      </c>
      <c r="E82" s="251">
        <v>0</v>
      </c>
      <c r="F82" s="78">
        <v>1</v>
      </c>
      <c r="G82" s="230">
        <f>IF(B$3 =1, H82*C82, H82/C82)</f>
        <v>0</v>
      </c>
      <c r="H82" s="68">
        <v>0</v>
      </c>
      <c r="I82" s="96">
        <f t="shared" si="21"/>
        <v>0</v>
      </c>
      <c r="J82" s="76">
        <f t="shared" si="22"/>
        <v>0</v>
      </c>
      <c r="K82" s="80"/>
      <c r="L82" s="70">
        <f t="shared" si="31"/>
        <v>0</v>
      </c>
      <c r="M82" s="97">
        <f t="shared" si="32"/>
        <v>0</v>
      </c>
      <c r="N82" s="69">
        <f t="shared" si="32"/>
        <v>0</v>
      </c>
      <c r="O82" s="86" t="str">
        <f>+A82</f>
        <v>Corn Trait</v>
      </c>
      <c r="P82" s="503">
        <v>44852</v>
      </c>
      <c r="Q82" s="84"/>
      <c r="R82" s="41"/>
      <c r="S82" s="42"/>
      <c r="T82" s="43"/>
      <c r="U82" s="35" t="s">
        <v>281</v>
      </c>
      <c r="V82" s="35" t="s">
        <v>282</v>
      </c>
      <c r="X82" s="36" t="s">
        <v>283</v>
      </c>
      <c r="Y82" s="147" t="s">
        <v>287</v>
      </c>
    </row>
    <row r="83" spans="1:25" ht="16.5" thickTop="1" thickBot="1">
      <c r="A83" s="226" t="s">
        <v>288</v>
      </c>
      <c r="B83" s="247" t="s">
        <v>289</v>
      </c>
      <c r="C83" s="78">
        <v>0.74</v>
      </c>
      <c r="D83" s="215" t="s">
        <v>108</v>
      </c>
      <c r="E83" s="251">
        <v>0</v>
      </c>
      <c r="F83" s="78">
        <v>1</v>
      </c>
      <c r="G83" s="230">
        <f t="shared" si="20"/>
        <v>0</v>
      </c>
      <c r="H83" s="68">
        <v>0</v>
      </c>
      <c r="I83" s="96">
        <f t="shared" si="21"/>
        <v>0</v>
      </c>
      <c r="J83" s="76">
        <f>IF($B$3 =1, H83*F83, (H83/C83) *F83)</f>
        <v>0</v>
      </c>
      <c r="K83" s="80"/>
      <c r="L83" s="70">
        <f t="shared" si="31"/>
        <v>0</v>
      </c>
      <c r="M83" s="97">
        <f t="shared" si="32"/>
        <v>0</v>
      </c>
      <c r="N83" s="69">
        <f t="shared" si="32"/>
        <v>0</v>
      </c>
      <c r="O83" s="86" t="str">
        <f>+A83</f>
        <v>Soybean Trait</v>
      </c>
      <c r="P83" s="503">
        <v>44852</v>
      </c>
      <c r="Q83" s="84"/>
      <c r="R83" s="41"/>
      <c r="S83" s="42"/>
      <c r="T83" s="43"/>
      <c r="U83" s="35" t="s">
        <v>281</v>
      </c>
      <c r="V83" s="35" t="s">
        <v>282</v>
      </c>
      <c r="X83" s="36" t="s">
        <v>283</v>
      </c>
      <c r="Y83" s="147" t="s">
        <v>290</v>
      </c>
    </row>
    <row r="84" spans="1:25" ht="16.5" hidden="1" thickTop="1" thickBot="1">
      <c r="A84" s="237" t="s">
        <v>291</v>
      </c>
      <c r="B84" s="238" t="s">
        <v>292</v>
      </c>
      <c r="C84" s="239">
        <v>60</v>
      </c>
      <c r="D84" s="198" t="s">
        <v>108</v>
      </c>
      <c r="E84" s="199">
        <v>0</v>
      </c>
      <c r="F84" s="240">
        <v>1</v>
      </c>
      <c r="G84" s="93">
        <f>IF(B$3 =1, H84*C84, H84/C84)</f>
        <v>0</v>
      </c>
      <c r="H84" s="68">
        <v>0</v>
      </c>
      <c r="I84" s="96">
        <f t="shared" si="21"/>
        <v>0</v>
      </c>
      <c r="J84" s="76">
        <f>IF($B$3 =1, H84*F84, (H84/C84) *F84)</f>
        <v>0</v>
      </c>
      <c r="K84" s="80"/>
      <c r="L84" s="70">
        <f t="shared" si="31"/>
        <v>0</v>
      </c>
      <c r="M84" s="97" t="s">
        <v>119</v>
      </c>
      <c r="N84" s="69">
        <f t="shared" si="32"/>
        <v>0</v>
      </c>
      <c r="O84" s="86"/>
      <c r="P84" s="253"/>
      <c r="Q84" s="84" t="s">
        <v>293</v>
      </c>
      <c r="R84" s="41"/>
      <c r="S84" s="42"/>
      <c r="T84" s="43"/>
      <c r="U84" s="35" t="s">
        <v>294</v>
      </c>
      <c r="V84" s="35" t="s">
        <v>104</v>
      </c>
      <c r="X84" s="36" t="s">
        <v>112</v>
      </c>
    </row>
    <row r="85" spans="1:25" ht="16.5" hidden="1" thickTop="1" thickBot="1">
      <c r="A85" s="46" t="s">
        <v>291</v>
      </c>
      <c r="B85" s="144" t="s">
        <v>295</v>
      </c>
      <c r="C85" s="40">
        <v>320</v>
      </c>
      <c r="D85" s="37" t="s">
        <v>102</v>
      </c>
      <c r="E85" s="45">
        <v>0</v>
      </c>
      <c r="F85" s="151">
        <v>5.33</v>
      </c>
      <c r="G85" s="93">
        <f t="shared" si="20"/>
        <v>0</v>
      </c>
      <c r="H85" s="68">
        <v>0</v>
      </c>
      <c r="I85" s="96">
        <f t="shared" si="21"/>
        <v>0</v>
      </c>
      <c r="J85" s="76">
        <f t="shared" ref="J85:J106" si="33">IF($B$3 =1, H85*F85, (H85/C85) *F85)</f>
        <v>0</v>
      </c>
      <c r="K85" s="80"/>
      <c r="L85" s="70">
        <f t="shared" si="31"/>
        <v>0</v>
      </c>
      <c r="M85" s="97">
        <f>+I84+I85</f>
        <v>0</v>
      </c>
      <c r="N85" s="69">
        <f t="shared" si="32"/>
        <v>0</v>
      </c>
      <c r="O85" s="86" t="str">
        <f>+A85</f>
        <v>BlackHawk</v>
      </c>
      <c r="P85" s="253"/>
      <c r="Q85" s="70">
        <f>IF( $B$3 = 1,  SUM($G84:$G85), SUM($H84:$H85) )</f>
        <v>0</v>
      </c>
      <c r="R85" s="69">
        <f>+$J84+$J85</f>
        <v>0</v>
      </c>
      <c r="S85" s="42"/>
      <c r="T85" s="43"/>
      <c r="U85" s="35" t="s">
        <v>294</v>
      </c>
      <c r="V85" s="35" t="s">
        <v>104</v>
      </c>
      <c r="X85" s="36" t="s">
        <v>112</v>
      </c>
    </row>
    <row r="86" spans="1:25" ht="16.5" hidden="1" thickTop="1" thickBot="1">
      <c r="A86" s="46" t="s">
        <v>296</v>
      </c>
      <c r="B86" s="144" t="s">
        <v>297</v>
      </c>
      <c r="C86" s="40">
        <v>160</v>
      </c>
      <c r="D86" s="37" t="s">
        <v>108</v>
      </c>
      <c r="E86" s="45">
        <v>0</v>
      </c>
      <c r="F86" s="151">
        <v>1</v>
      </c>
      <c r="G86" s="93">
        <f t="shared" si="20"/>
        <v>0</v>
      </c>
      <c r="H86" s="68">
        <v>0</v>
      </c>
      <c r="I86" s="96">
        <f t="shared" si="21"/>
        <v>0</v>
      </c>
      <c r="J86" s="76">
        <f t="shared" si="33"/>
        <v>0</v>
      </c>
      <c r="K86" s="80"/>
      <c r="L86" s="70">
        <f t="shared" ref="L86:L106" si="34">IF( $B$3 = 1,  G86,H86 )</f>
        <v>0</v>
      </c>
      <c r="M86" s="97" t="s">
        <v>119</v>
      </c>
      <c r="N86" s="69">
        <f t="shared" ref="N86:N106" si="35">+J86</f>
        <v>0</v>
      </c>
      <c r="O86" s="86"/>
      <c r="P86" s="253"/>
      <c r="Q86" s="84"/>
      <c r="R86" s="41"/>
      <c r="S86" s="42"/>
      <c r="T86" s="43"/>
      <c r="U86" s="35" t="s">
        <v>294</v>
      </c>
      <c r="V86" s="35" t="s">
        <v>104</v>
      </c>
      <c r="X86" s="36" t="s">
        <v>112</v>
      </c>
    </row>
    <row r="87" spans="1:25" ht="16.5" hidden="1" thickTop="1" thickBot="1">
      <c r="A87" s="46" t="s">
        <v>296</v>
      </c>
      <c r="B87" s="144" t="s">
        <v>298</v>
      </c>
      <c r="C87" s="40">
        <v>640</v>
      </c>
      <c r="D87" s="37" t="s">
        <v>102</v>
      </c>
      <c r="E87" s="45">
        <v>0</v>
      </c>
      <c r="F87" s="151">
        <v>4</v>
      </c>
      <c r="G87" s="93">
        <f t="shared" si="20"/>
        <v>0</v>
      </c>
      <c r="H87" s="68">
        <v>0</v>
      </c>
      <c r="I87" s="96">
        <f t="shared" si="21"/>
        <v>0</v>
      </c>
      <c r="J87" s="76">
        <f t="shared" si="33"/>
        <v>0</v>
      </c>
      <c r="K87" s="80"/>
      <c r="L87" s="70">
        <f t="shared" si="34"/>
        <v>0</v>
      </c>
      <c r="M87" s="97">
        <f>+I86+I87</f>
        <v>0</v>
      </c>
      <c r="N87" s="69">
        <f t="shared" si="35"/>
        <v>0</v>
      </c>
      <c r="O87" s="86" t="str">
        <f>+A87</f>
        <v>GoldWing</v>
      </c>
      <c r="P87" s="253"/>
      <c r="Q87" s="70">
        <f>IF( $B$3 = 1,  SUM($G86:$G87), SUM($H86:$H87) )</f>
        <v>0</v>
      </c>
      <c r="R87" s="69">
        <f>+$J86+$J87</f>
        <v>0</v>
      </c>
      <c r="S87" s="42"/>
      <c r="T87" s="43"/>
      <c r="U87" s="35" t="s">
        <v>294</v>
      </c>
      <c r="V87" s="35" t="s">
        <v>104</v>
      </c>
      <c r="X87" s="36" t="s">
        <v>112</v>
      </c>
    </row>
    <row r="88" spans="1:25" ht="16.5" hidden="1" thickTop="1" thickBot="1">
      <c r="A88" s="46" t="s">
        <v>299</v>
      </c>
      <c r="B88" s="144" t="s">
        <v>300</v>
      </c>
      <c r="C88" s="40">
        <v>160</v>
      </c>
      <c r="D88" s="37" t="s">
        <v>108</v>
      </c>
      <c r="E88" s="45">
        <v>0</v>
      </c>
      <c r="F88" s="151">
        <v>1</v>
      </c>
      <c r="G88" s="93">
        <f t="shared" si="20"/>
        <v>0</v>
      </c>
      <c r="H88" s="68">
        <v>0</v>
      </c>
      <c r="I88" s="96">
        <f t="shared" si="21"/>
        <v>0</v>
      </c>
      <c r="J88" s="76">
        <f t="shared" si="33"/>
        <v>0</v>
      </c>
      <c r="K88" s="80"/>
      <c r="L88" s="70">
        <f t="shared" si="34"/>
        <v>0</v>
      </c>
      <c r="M88" s="97">
        <f t="shared" ref="M88:M106" si="36">+I88</f>
        <v>0</v>
      </c>
      <c r="N88" s="69">
        <f t="shared" si="35"/>
        <v>0</v>
      </c>
      <c r="O88" s="86" t="str">
        <f t="shared" ref="O88:O93" si="37">+A88</f>
        <v>Valtera</v>
      </c>
      <c r="P88" s="253"/>
      <c r="Q88" s="84"/>
      <c r="R88" s="41"/>
      <c r="S88" s="42"/>
      <c r="T88" s="43"/>
      <c r="U88" s="35" t="s">
        <v>294</v>
      </c>
      <c r="V88" s="35" t="s">
        <v>104</v>
      </c>
      <c r="X88" s="36" t="s">
        <v>112</v>
      </c>
    </row>
    <row r="89" spans="1:25" ht="16.5" hidden="1" thickTop="1" thickBot="1">
      <c r="A89" s="46" t="s">
        <v>301</v>
      </c>
      <c r="B89" s="144" t="s">
        <v>302</v>
      </c>
      <c r="C89" s="40">
        <v>80</v>
      </c>
      <c r="D89" s="37" t="s">
        <v>108</v>
      </c>
      <c r="E89" s="45">
        <v>0</v>
      </c>
      <c r="F89" s="151">
        <v>1</v>
      </c>
      <c r="G89" s="93">
        <f t="shared" si="20"/>
        <v>0</v>
      </c>
      <c r="H89" s="68">
        <v>0</v>
      </c>
      <c r="I89" s="96">
        <f t="shared" si="21"/>
        <v>0</v>
      </c>
      <c r="J89" s="76">
        <f t="shared" si="33"/>
        <v>0</v>
      </c>
      <c r="K89" s="80"/>
      <c r="L89" s="70">
        <f t="shared" si="34"/>
        <v>0</v>
      </c>
      <c r="M89" s="97">
        <f t="shared" si="36"/>
        <v>0</v>
      </c>
      <c r="N89" s="69">
        <f t="shared" si="35"/>
        <v>0</v>
      </c>
      <c r="O89" s="86" t="str">
        <f t="shared" si="37"/>
        <v>Conquer</v>
      </c>
      <c r="P89" s="253"/>
      <c r="Q89" s="84"/>
      <c r="R89" s="41"/>
      <c r="S89" s="42"/>
      <c r="T89" s="43"/>
      <c r="U89" s="35" t="s">
        <v>294</v>
      </c>
      <c r="V89" s="35" t="s">
        <v>104</v>
      </c>
      <c r="X89" s="36" t="s">
        <v>112</v>
      </c>
    </row>
    <row r="90" spans="1:25" ht="16.5" hidden="1" thickTop="1" thickBot="1">
      <c r="A90" s="46" t="s">
        <v>303</v>
      </c>
      <c r="B90" s="144" t="s">
        <v>304</v>
      </c>
      <c r="C90" s="40">
        <v>128</v>
      </c>
      <c r="D90" s="37" t="s">
        <v>108</v>
      </c>
      <c r="E90" s="45">
        <v>0</v>
      </c>
      <c r="F90" s="151">
        <v>1</v>
      </c>
      <c r="G90" s="93">
        <f t="shared" si="20"/>
        <v>0</v>
      </c>
      <c r="H90" s="68">
        <v>0</v>
      </c>
      <c r="I90" s="96">
        <f t="shared" si="21"/>
        <v>0</v>
      </c>
      <c r="J90" s="76">
        <f t="shared" si="33"/>
        <v>0</v>
      </c>
      <c r="K90" s="80"/>
      <c r="L90" s="70">
        <f t="shared" si="34"/>
        <v>0</v>
      </c>
      <c r="M90" s="97">
        <f t="shared" si="36"/>
        <v>0</v>
      </c>
      <c r="N90" s="69">
        <f t="shared" si="35"/>
        <v>0</v>
      </c>
      <c r="O90" s="86" t="str">
        <f t="shared" si="37"/>
        <v>Fierce</v>
      </c>
      <c r="P90" s="253"/>
      <c r="Q90" s="84"/>
      <c r="R90" s="41"/>
      <c r="S90" s="42"/>
      <c r="T90" s="43"/>
      <c r="U90" s="35" t="s">
        <v>294</v>
      </c>
      <c r="V90" s="35" t="s">
        <v>104</v>
      </c>
      <c r="X90" s="36" t="s">
        <v>112</v>
      </c>
    </row>
    <row r="91" spans="1:25" ht="16.5" hidden="1" thickTop="1" thickBot="1">
      <c r="A91" s="46" t="s">
        <v>305</v>
      </c>
      <c r="B91" s="144" t="s">
        <v>306</v>
      </c>
      <c r="C91" s="40">
        <v>213</v>
      </c>
      <c r="D91" s="37" t="s">
        <v>108</v>
      </c>
      <c r="E91" s="45">
        <v>0</v>
      </c>
      <c r="F91" s="151">
        <v>1</v>
      </c>
      <c r="G91" s="93">
        <f t="shared" si="20"/>
        <v>0</v>
      </c>
      <c r="H91" s="68">
        <v>0</v>
      </c>
      <c r="I91" s="96">
        <f t="shared" si="21"/>
        <v>0</v>
      </c>
      <c r="J91" s="76">
        <f t="shared" si="33"/>
        <v>0</v>
      </c>
      <c r="K91" s="80"/>
      <c r="L91" s="70">
        <f t="shared" si="34"/>
        <v>0</v>
      </c>
      <c r="M91" s="97">
        <f t="shared" si="36"/>
        <v>0</v>
      </c>
      <c r="N91" s="69">
        <f t="shared" si="35"/>
        <v>0</v>
      </c>
      <c r="O91" s="86" t="str">
        <f t="shared" si="37"/>
        <v>Davai</v>
      </c>
      <c r="P91" s="253"/>
      <c r="Q91" s="84"/>
      <c r="R91" s="41"/>
      <c r="S91" s="42"/>
      <c r="T91" s="43"/>
      <c r="U91" s="35" t="s">
        <v>294</v>
      </c>
      <c r="V91" s="35" t="s">
        <v>104</v>
      </c>
      <c r="X91" s="36" t="s">
        <v>112</v>
      </c>
    </row>
    <row r="92" spans="1:25" ht="16.5" hidden="1" thickTop="1" thickBot="1">
      <c r="A92" s="46" t="s">
        <v>307</v>
      </c>
      <c r="B92" s="144" t="s">
        <v>308</v>
      </c>
      <c r="C92" s="40">
        <v>80</v>
      </c>
      <c r="D92" s="37" t="s">
        <v>108</v>
      </c>
      <c r="E92" s="45"/>
      <c r="F92" s="151">
        <v>1</v>
      </c>
      <c r="G92" s="93">
        <f t="shared" si="20"/>
        <v>0</v>
      </c>
      <c r="H92" s="68">
        <v>0</v>
      </c>
      <c r="I92" s="96">
        <f>IF(B$3 = 1, H92*E92, (H92/C92) *E92)</f>
        <v>0</v>
      </c>
      <c r="J92" s="76">
        <f>IF($B$3 =1, H92*F92, (H92/C92) *F92)</f>
        <v>0</v>
      </c>
      <c r="K92" s="80"/>
      <c r="L92" s="70">
        <f>IF( $B$3 = 1,  G92,H92 )</f>
        <v>0</v>
      </c>
      <c r="M92" s="97">
        <f>+I92</f>
        <v>0</v>
      </c>
      <c r="N92" s="69">
        <f>+J92</f>
        <v>0</v>
      </c>
      <c r="O92" s="86" t="str">
        <f t="shared" si="37"/>
        <v xml:space="preserve">Command </v>
      </c>
      <c r="P92" s="253"/>
      <c r="Q92" s="84"/>
      <c r="R92" s="41"/>
      <c r="S92" s="42"/>
      <c r="T92" s="43"/>
      <c r="U92" s="35" t="s">
        <v>294</v>
      </c>
      <c r="V92" s="35" t="s">
        <v>104</v>
      </c>
      <c r="X92" s="36" t="s">
        <v>112</v>
      </c>
    </row>
    <row r="93" spans="1:25" ht="16.5" hidden="1" thickTop="1" thickBot="1">
      <c r="A93" s="46" t="s">
        <v>309</v>
      </c>
      <c r="B93" s="144" t="s">
        <v>310</v>
      </c>
      <c r="C93" s="40">
        <v>40</v>
      </c>
      <c r="D93" s="37" t="s">
        <v>108</v>
      </c>
      <c r="E93" s="45"/>
      <c r="F93" s="151">
        <v>1</v>
      </c>
      <c r="G93" s="93">
        <f t="shared" si="20"/>
        <v>0</v>
      </c>
      <c r="H93" s="68">
        <v>0</v>
      </c>
      <c r="I93" s="96">
        <f>IF(B$3 = 1, H93*E93, (H93/C93) *E93)</f>
        <v>0</v>
      </c>
      <c r="J93" s="76">
        <f>IF($B$3 =1, H93*F93, (H93/C93) *F93)</f>
        <v>0</v>
      </c>
      <c r="K93" s="80"/>
      <c r="L93" s="70">
        <f>IF( $B$3 = 1,  G93,H93 )</f>
        <v>0</v>
      </c>
      <c r="M93" s="97">
        <f>+I93</f>
        <v>0</v>
      </c>
      <c r="N93" s="69">
        <f>+J93</f>
        <v>0</v>
      </c>
      <c r="O93" s="86" t="str">
        <f t="shared" si="37"/>
        <v>Command</v>
      </c>
      <c r="P93" s="253"/>
      <c r="Q93" s="84"/>
      <c r="R93" s="41"/>
      <c r="S93" s="42"/>
      <c r="T93" s="43"/>
      <c r="U93" s="35" t="s">
        <v>294</v>
      </c>
      <c r="V93" s="35" t="s">
        <v>104</v>
      </c>
      <c r="X93" s="36" t="s">
        <v>112</v>
      </c>
    </row>
    <row r="94" spans="1:25" ht="16.5" hidden="1" thickTop="1" thickBot="1">
      <c r="A94" s="150" t="s">
        <v>311</v>
      </c>
      <c r="B94" s="144" t="str">
        <f>+A94</f>
        <v>Old section used for traits in 2020</v>
      </c>
      <c r="C94" s="152">
        <v>10</v>
      </c>
      <c r="D94" s="127" t="s">
        <v>108</v>
      </c>
      <c r="E94" s="128">
        <v>0</v>
      </c>
      <c r="F94" s="80">
        <v>1</v>
      </c>
      <c r="G94" s="203">
        <f t="shared" si="20"/>
        <v>0</v>
      </c>
      <c r="H94" s="68">
        <v>0</v>
      </c>
      <c r="I94" s="201">
        <f t="shared" si="21"/>
        <v>0</v>
      </c>
      <c r="J94" s="202">
        <f t="shared" si="33"/>
        <v>0</v>
      </c>
      <c r="K94" s="80"/>
      <c r="L94" s="70">
        <f t="shared" si="34"/>
        <v>0</v>
      </c>
      <c r="M94" s="97">
        <f t="shared" si="36"/>
        <v>0</v>
      </c>
      <c r="N94" s="69">
        <f t="shared" si="35"/>
        <v>0</v>
      </c>
      <c r="O94" s="86"/>
      <c r="P94" s="253"/>
      <c r="Q94" s="84"/>
      <c r="R94" s="41"/>
      <c r="S94" s="42"/>
      <c r="T94" s="43"/>
      <c r="U94" s="35" t="s">
        <v>294</v>
      </c>
      <c r="V94" s="35" t="s">
        <v>104</v>
      </c>
      <c r="X94" s="36" t="s">
        <v>312</v>
      </c>
    </row>
    <row r="95" spans="1:25" ht="16.5" hidden="1" thickTop="1" thickBot="1">
      <c r="A95" s="150" t="s">
        <v>311</v>
      </c>
      <c r="B95" s="144" t="str">
        <f t="shared" ref="B95:B107" si="38">+A95</f>
        <v>Old section used for traits in 2020</v>
      </c>
      <c r="C95" s="153">
        <v>10</v>
      </c>
      <c r="D95" s="86" t="s">
        <v>108</v>
      </c>
      <c r="E95" s="98">
        <v>0</v>
      </c>
      <c r="F95" s="80">
        <v>1</v>
      </c>
      <c r="G95" s="203">
        <f t="shared" si="20"/>
        <v>0</v>
      </c>
      <c r="H95" s="68">
        <v>0</v>
      </c>
      <c r="I95" s="201">
        <f t="shared" si="21"/>
        <v>0</v>
      </c>
      <c r="J95" s="202">
        <f t="shared" si="33"/>
        <v>0</v>
      </c>
      <c r="K95" s="80"/>
      <c r="L95" s="70">
        <f t="shared" si="34"/>
        <v>0</v>
      </c>
      <c r="M95" s="97">
        <f t="shared" si="36"/>
        <v>0</v>
      </c>
      <c r="N95" s="69">
        <f t="shared" si="35"/>
        <v>0</v>
      </c>
      <c r="O95" s="86"/>
      <c r="P95" s="253"/>
      <c r="Q95" s="84"/>
      <c r="R95" s="41"/>
      <c r="S95" s="42"/>
      <c r="T95" s="43"/>
      <c r="U95" s="35" t="s">
        <v>294</v>
      </c>
      <c r="V95" s="35" t="s">
        <v>104</v>
      </c>
      <c r="X95" s="36" t="s">
        <v>312</v>
      </c>
    </row>
    <row r="96" spans="1:25" ht="16.5" hidden="1" thickTop="1" thickBot="1">
      <c r="A96" s="150" t="s">
        <v>311</v>
      </c>
      <c r="B96" s="144" t="str">
        <f t="shared" si="38"/>
        <v>Old section used for traits in 2020</v>
      </c>
      <c r="C96" s="153">
        <v>10</v>
      </c>
      <c r="D96" s="86" t="s">
        <v>108</v>
      </c>
      <c r="E96" s="98">
        <v>0</v>
      </c>
      <c r="F96" s="80">
        <v>1</v>
      </c>
      <c r="G96" s="203">
        <f t="shared" si="20"/>
        <v>0</v>
      </c>
      <c r="H96" s="68">
        <v>0</v>
      </c>
      <c r="I96" s="201">
        <f t="shared" si="21"/>
        <v>0</v>
      </c>
      <c r="J96" s="202">
        <f t="shared" si="33"/>
        <v>0</v>
      </c>
      <c r="K96" s="80"/>
      <c r="L96" s="70">
        <f t="shared" si="34"/>
        <v>0</v>
      </c>
      <c r="M96" s="97">
        <f t="shared" si="36"/>
        <v>0</v>
      </c>
      <c r="N96" s="69">
        <f t="shared" si="35"/>
        <v>0</v>
      </c>
      <c r="O96" s="86"/>
      <c r="P96" s="253"/>
      <c r="Q96" s="84"/>
      <c r="R96" s="41"/>
      <c r="S96" s="42"/>
      <c r="T96" s="43"/>
      <c r="U96" s="35" t="s">
        <v>294</v>
      </c>
      <c r="V96" s="35" t="s">
        <v>104</v>
      </c>
      <c r="X96" s="36" t="s">
        <v>312</v>
      </c>
    </row>
    <row r="97" spans="1:27" ht="16.5" hidden="1" thickTop="1" thickBot="1">
      <c r="A97" s="150" t="s">
        <v>311</v>
      </c>
      <c r="B97" s="144" t="str">
        <f t="shared" si="38"/>
        <v>Old section used for traits in 2020</v>
      </c>
      <c r="C97" s="153">
        <v>10</v>
      </c>
      <c r="D97" s="86" t="s">
        <v>108</v>
      </c>
      <c r="E97" s="98">
        <v>0</v>
      </c>
      <c r="F97" s="80">
        <v>1</v>
      </c>
      <c r="G97" s="203">
        <f t="shared" si="20"/>
        <v>0</v>
      </c>
      <c r="H97" s="68">
        <v>0</v>
      </c>
      <c r="I97" s="201">
        <f t="shared" si="21"/>
        <v>0</v>
      </c>
      <c r="J97" s="202">
        <f t="shared" si="33"/>
        <v>0</v>
      </c>
      <c r="K97" s="80"/>
      <c r="L97" s="70">
        <f t="shared" si="34"/>
        <v>0</v>
      </c>
      <c r="M97" s="97">
        <f t="shared" si="36"/>
        <v>0</v>
      </c>
      <c r="N97" s="69">
        <f t="shared" si="35"/>
        <v>0</v>
      </c>
      <c r="O97" s="86"/>
      <c r="P97" s="253"/>
      <c r="Q97" s="84"/>
      <c r="R97" s="41"/>
      <c r="S97" s="42"/>
      <c r="T97" s="43"/>
      <c r="U97" s="35" t="s">
        <v>294</v>
      </c>
      <c r="V97" s="35" t="s">
        <v>104</v>
      </c>
      <c r="X97" s="36" t="s">
        <v>312</v>
      </c>
    </row>
    <row r="98" spans="1:27" ht="16.5" hidden="1" thickTop="1" thickBot="1">
      <c r="A98" s="150" t="s">
        <v>311</v>
      </c>
      <c r="B98" s="144" t="str">
        <f t="shared" si="38"/>
        <v>Old section used for traits in 2020</v>
      </c>
      <c r="C98" s="153">
        <v>10</v>
      </c>
      <c r="D98" s="86" t="s">
        <v>108</v>
      </c>
      <c r="E98" s="98">
        <v>0</v>
      </c>
      <c r="F98" s="80">
        <v>1</v>
      </c>
      <c r="G98" s="203">
        <f t="shared" si="20"/>
        <v>0</v>
      </c>
      <c r="H98" s="68">
        <v>0</v>
      </c>
      <c r="I98" s="201">
        <f t="shared" si="21"/>
        <v>0</v>
      </c>
      <c r="J98" s="202">
        <f t="shared" si="33"/>
        <v>0</v>
      </c>
      <c r="K98" s="80"/>
      <c r="L98" s="70">
        <f t="shared" si="34"/>
        <v>0</v>
      </c>
      <c r="M98" s="97">
        <f t="shared" si="36"/>
        <v>0</v>
      </c>
      <c r="N98" s="69">
        <f t="shared" si="35"/>
        <v>0</v>
      </c>
      <c r="O98" s="86"/>
      <c r="P98" s="253"/>
      <c r="Q98" s="84"/>
      <c r="R98" s="41"/>
      <c r="S98" s="42"/>
      <c r="T98" s="43"/>
      <c r="U98" s="35" t="s">
        <v>294</v>
      </c>
      <c r="V98" s="35" t="s">
        <v>104</v>
      </c>
      <c r="X98" s="36" t="s">
        <v>312</v>
      </c>
    </row>
    <row r="99" spans="1:27" ht="16.5" hidden="1" thickTop="1" thickBot="1">
      <c r="A99" s="150" t="s">
        <v>311</v>
      </c>
      <c r="B99" s="144" t="str">
        <f t="shared" si="38"/>
        <v>Old section used for traits in 2020</v>
      </c>
      <c r="C99" s="153">
        <v>10</v>
      </c>
      <c r="D99" s="86" t="s">
        <v>108</v>
      </c>
      <c r="E99" s="98">
        <v>0</v>
      </c>
      <c r="F99" s="80">
        <v>1</v>
      </c>
      <c r="G99" s="203">
        <f t="shared" si="20"/>
        <v>0</v>
      </c>
      <c r="H99" s="68">
        <v>0</v>
      </c>
      <c r="I99" s="201">
        <f t="shared" si="21"/>
        <v>0</v>
      </c>
      <c r="J99" s="202">
        <f t="shared" si="33"/>
        <v>0</v>
      </c>
      <c r="K99" s="80"/>
      <c r="L99" s="70">
        <f t="shared" si="34"/>
        <v>0</v>
      </c>
      <c r="M99" s="97">
        <f t="shared" si="36"/>
        <v>0</v>
      </c>
      <c r="N99" s="69">
        <f t="shared" si="35"/>
        <v>0</v>
      </c>
      <c r="O99" s="86"/>
      <c r="P99" s="253"/>
      <c r="Q99" s="84"/>
      <c r="R99" s="41"/>
      <c r="S99" s="42"/>
      <c r="T99" s="43"/>
      <c r="U99" s="35" t="s">
        <v>294</v>
      </c>
      <c r="V99" s="35" t="s">
        <v>104</v>
      </c>
      <c r="X99" s="36" t="s">
        <v>312</v>
      </c>
    </row>
    <row r="100" spans="1:27" ht="16.5" hidden="1" thickTop="1" thickBot="1">
      <c r="A100" s="150" t="s">
        <v>311</v>
      </c>
      <c r="B100" s="144" t="str">
        <f t="shared" si="38"/>
        <v>Old section used for traits in 2020</v>
      </c>
      <c r="C100" s="153">
        <v>10</v>
      </c>
      <c r="D100" s="86" t="s">
        <v>108</v>
      </c>
      <c r="E100" s="98">
        <v>0</v>
      </c>
      <c r="F100" s="80">
        <v>1</v>
      </c>
      <c r="G100" s="203">
        <f t="shared" si="20"/>
        <v>0</v>
      </c>
      <c r="H100" s="68">
        <v>0</v>
      </c>
      <c r="I100" s="201">
        <f t="shared" si="21"/>
        <v>0</v>
      </c>
      <c r="J100" s="202">
        <f t="shared" si="33"/>
        <v>0</v>
      </c>
      <c r="K100" s="80"/>
      <c r="L100" s="70">
        <f t="shared" si="34"/>
        <v>0</v>
      </c>
      <c r="M100" s="97">
        <f t="shared" si="36"/>
        <v>0</v>
      </c>
      <c r="N100" s="69">
        <f t="shared" si="35"/>
        <v>0</v>
      </c>
      <c r="O100" s="86"/>
      <c r="P100" s="253"/>
      <c r="Q100" s="84"/>
      <c r="R100" s="41"/>
      <c r="S100" s="42"/>
      <c r="T100" s="43"/>
      <c r="U100" s="35" t="s">
        <v>294</v>
      </c>
      <c r="V100" s="35" t="s">
        <v>104</v>
      </c>
      <c r="X100" s="36" t="s">
        <v>312</v>
      </c>
    </row>
    <row r="101" spans="1:27" ht="16.5" hidden="1" thickTop="1" thickBot="1">
      <c r="A101" s="150" t="s">
        <v>311</v>
      </c>
      <c r="B101" s="144" t="str">
        <f t="shared" si="38"/>
        <v>Old section used for traits in 2020</v>
      </c>
      <c r="C101" s="153">
        <v>2.5</v>
      </c>
      <c r="D101" s="86" t="s">
        <v>108</v>
      </c>
      <c r="E101" s="98">
        <v>0</v>
      </c>
      <c r="F101" s="80">
        <v>1</v>
      </c>
      <c r="G101" s="203">
        <f t="shared" si="20"/>
        <v>0</v>
      </c>
      <c r="H101" s="68">
        <v>0</v>
      </c>
      <c r="I101" s="201">
        <f t="shared" si="21"/>
        <v>0</v>
      </c>
      <c r="J101" s="202">
        <f t="shared" si="33"/>
        <v>0</v>
      </c>
      <c r="K101" s="80"/>
      <c r="L101" s="70">
        <f t="shared" si="34"/>
        <v>0</v>
      </c>
      <c r="M101" s="97">
        <f t="shared" si="36"/>
        <v>0</v>
      </c>
      <c r="N101" s="69">
        <f t="shared" si="35"/>
        <v>0</v>
      </c>
      <c r="O101" s="86"/>
      <c r="P101" s="253"/>
      <c r="Q101" s="84"/>
      <c r="R101" s="41"/>
      <c r="S101" s="42"/>
      <c r="T101" s="43"/>
      <c r="U101" s="35" t="s">
        <v>294</v>
      </c>
      <c r="V101" s="35" t="s">
        <v>104</v>
      </c>
      <c r="X101" s="36" t="s">
        <v>312</v>
      </c>
    </row>
    <row r="102" spans="1:27" ht="18.75" hidden="1" customHeight="1" thickTop="1" thickBot="1">
      <c r="A102" s="150" t="s">
        <v>311</v>
      </c>
      <c r="B102" s="144" t="str">
        <f t="shared" si="38"/>
        <v>Old section used for traits in 2020</v>
      </c>
      <c r="C102" s="153">
        <v>2.5</v>
      </c>
      <c r="D102" s="86" t="s">
        <v>108</v>
      </c>
      <c r="E102" s="98">
        <v>0</v>
      </c>
      <c r="F102" s="80">
        <v>1</v>
      </c>
      <c r="G102" s="203">
        <f t="shared" si="20"/>
        <v>0</v>
      </c>
      <c r="H102" s="68">
        <v>0</v>
      </c>
      <c r="I102" s="201">
        <f t="shared" si="21"/>
        <v>0</v>
      </c>
      <c r="J102" s="202">
        <f t="shared" si="33"/>
        <v>0</v>
      </c>
      <c r="K102" s="80"/>
      <c r="L102" s="70">
        <f t="shared" si="34"/>
        <v>0</v>
      </c>
      <c r="M102" s="97">
        <f t="shared" si="36"/>
        <v>0</v>
      </c>
      <c r="N102" s="69">
        <f t="shared" si="35"/>
        <v>0</v>
      </c>
      <c r="O102" s="86"/>
      <c r="P102" s="253"/>
      <c r="Q102" s="84"/>
      <c r="R102" s="41"/>
      <c r="S102" s="42"/>
      <c r="T102" s="43"/>
      <c r="U102" s="35" t="s">
        <v>294</v>
      </c>
      <c r="V102" s="35" t="s">
        <v>104</v>
      </c>
      <c r="X102" s="36" t="s">
        <v>312</v>
      </c>
    </row>
    <row r="103" spans="1:27" ht="16.5" hidden="1" thickTop="1" thickBot="1">
      <c r="A103" s="150" t="s">
        <v>311</v>
      </c>
      <c r="B103" s="144" t="str">
        <f t="shared" si="38"/>
        <v>Old section used for traits in 2020</v>
      </c>
      <c r="C103" s="153">
        <v>0.74</v>
      </c>
      <c r="D103" s="86" t="s">
        <v>108</v>
      </c>
      <c r="E103" s="98">
        <v>0</v>
      </c>
      <c r="F103" s="80">
        <v>1</v>
      </c>
      <c r="G103" s="203">
        <f t="shared" si="20"/>
        <v>0</v>
      </c>
      <c r="H103" s="68">
        <v>0</v>
      </c>
      <c r="I103" s="201">
        <f t="shared" si="21"/>
        <v>0</v>
      </c>
      <c r="J103" s="202">
        <f t="shared" si="33"/>
        <v>0</v>
      </c>
      <c r="K103" s="80"/>
      <c r="L103" s="70">
        <f t="shared" si="34"/>
        <v>0</v>
      </c>
      <c r="M103" s="97">
        <f t="shared" si="36"/>
        <v>0</v>
      </c>
      <c r="N103" s="69">
        <f t="shared" si="35"/>
        <v>0</v>
      </c>
      <c r="O103" s="86"/>
      <c r="P103" s="253"/>
      <c r="Q103" s="84"/>
      <c r="R103" s="41"/>
      <c r="S103" s="42"/>
      <c r="T103" s="43"/>
      <c r="U103" s="35" t="s">
        <v>294</v>
      </c>
      <c r="V103" s="35" t="s">
        <v>104</v>
      </c>
      <c r="X103" s="36" t="s">
        <v>312</v>
      </c>
    </row>
    <row r="104" spans="1:27" ht="16.5" hidden="1" thickTop="1" thickBot="1">
      <c r="A104" s="150" t="s">
        <v>311</v>
      </c>
      <c r="B104" s="144" t="str">
        <f t="shared" si="38"/>
        <v>Old section used for traits in 2020</v>
      </c>
      <c r="C104" s="153">
        <v>0.74</v>
      </c>
      <c r="D104" s="86" t="s">
        <v>108</v>
      </c>
      <c r="E104" s="98">
        <v>0</v>
      </c>
      <c r="F104" s="80">
        <v>1</v>
      </c>
      <c r="G104" s="203">
        <f t="shared" si="20"/>
        <v>0</v>
      </c>
      <c r="H104" s="68">
        <v>0</v>
      </c>
      <c r="I104" s="201">
        <f t="shared" si="21"/>
        <v>0</v>
      </c>
      <c r="J104" s="202">
        <f t="shared" si="33"/>
        <v>0</v>
      </c>
      <c r="K104" s="80"/>
      <c r="L104" s="70">
        <f t="shared" si="34"/>
        <v>0</v>
      </c>
      <c r="M104" s="97">
        <f t="shared" si="36"/>
        <v>0</v>
      </c>
      <c r="N104" s="69">
        <f t="shared" si="35"/>
        <v>0</v>
      </c>
      <c r="O104" s="86"/>
      <c r="P104" s="253"/>
      <c r="Q104" s="84"/>
      <c r="R104" s="41"/>
      <c r="S104" s="42"/>
      <c r="T104" s="43"/>
      <c r="U104" s="35" t="s">
        <v>294</v>
      </c>
      <c r="V104" s="35" t="s">
        <v>104</v>
      </c>
      <c r="X104" s="36" t="s">
        <v>312</v>
      </c>
    </row>
    <row r="105" spans="1:27" ht="16.5" hidden="1" thickTop="1" thickBot="1">
      <c r="A105" s="150" t="s">
        <v>311</v>
      </c>
      <c r="B105" s="144" t="str">
        <f t="shared" si="38"/>
        <v>Old section used for traits in 2020</v>
      </c>
      <c r="C105" s="153">
        <v>0.74</v>
      </c>
      <c r="D105" s="86" t="s">
        <v>108</v>
      </c>
      <c r="E105" s="98">
        <v>0</v>
      </c>
      <c r="F105" s="80">
        <v>1</v>
      </c>
      <c r="G105" s="203">
        <f t="shared" si="20"/>
        <v>0</v>
      </c>
      <c r="H105" s="68">
        <v>0</v>
      </c>
      <c r="I105" s="201">
        <f t="shared" si="21"/>
        <v>0</v>
      </c>
      <c r="J105" s="202">
        <f t="shared" si="33"/>
        <v>0</v>
      </c>
      <c r="K105" s="80"/>
      <c r="L105" s="70">
        <f t="shared" si="34"/>
        <v>0</v>
      </c>
      <c r="M105" s="97">
        <f t="shared" si="36"/>
        <v>0</v>
      </c>
      <c r="N105" s="69">
        <f t="shared" si="35"/>
        <v>0</v>
      </c>
      <c r="O105" s="86"/>
      <c r="P105" s="253"/>
      <c r="Q105" s="84"/>
      <c r="R105" s="41"/>
      <c r="S105" s="42"/>
      <c r="T105" s="43"/>
      <c r="U105" s="35" t="s">
        <v>294</v>
      </c>
      <c r="V105" s="35" t="s">
        <v>104</v>
      </c>
      <c r="X105" s="36" t="s">
        <v>312</v>
      </c>
    </row>
    <row r="106" spans="1:27" ht="15.75" hidden="1" thickTop="1">
      <c r="A106" s="154" t="s">
        <v>311</v>
      </c>
      <c r="B106" s="155" t="str">
        <f t="shared" si="38"/>
        <v>Old section used for traits in 2020</v>
      </c>
      <c r="C106" s="156">
        <v>0.74</v>
      </c>
      <c r="D106" s="157" t="s">
        <v>108</v>
      </c>
      <c r="E106" s="158">
        <v>0</v>
      </c>
      <c r="F106" s="159">
        <v>1</v>
      </c>
      <c r="G106" s="203">
        <f t="shared" si="20"/>
        <v>0</v>
      </c>
      <c r="H106" s="160">
        <v>0</v>
      </c>
      <c r="I106" s="201">
        <f t="shared" si="21"/>
        <v>0</v>
      </c>
      <c r="J106" s="202">
        <f t="shared" si="33"/>
        <v>0</v>
      </c>
      <c r="K106" s="159"/>
      <c r="L106" s="122">
        <f t="shared" si="34"/>
        <v>0</v>
      </c>
      <c r="M106" s="161">
        <f t="shared" si="36"/>
        <v>0</v>
      </c>
      <c r="N106" s="162">
        <f t="shared" si="35"/>
        <v>0</v>
      </c>
      <c r="O106" s="157"/>
      <c r="P106" s="254"/>
      <c r="Q106" s="163"/>
      <c r="R106" s="164"/>
      <c r="S106" s="165"/>
      <c r="T106" s="166"/>
      <c r="U106" s="35" t="s">
        <v>294</v>
      </c>
      <c r="V106" s="167" t="s">
        <v>104</v>
      </c>
      <c r="X106" s="36" t="s">
        <v>312</v>
      </c>
    </row>
    <row r="107" spans="1:27" ht="15.75" thickTop="1">
      <c r="A107" s="168" t="s">
        <v>313</v>
      </c>
      <c r="B107" s="169" t="str">
        <f t="shared" si="38"/>
        <v>Spare</v>
      </c>
      <c r="C107" s="170"/>
      <c r="D107" s="171"/>
      <c r="E107" s="255"/>
      <c r="F107" s="170"/>
      <c r="G107" s="204"/>
      <c r="H107" s="173"/>
      <c r="I107" s="174"/>
      <c r="J107" s="175"/>
      <c r="K107" s="170"/>
      <c r="L107" s="173"/>
      <c r="M107" s="174"/>
      <c r="N107" s="175"/>
      <c r="O107" s="171"/>
      <c r="P107" s="252"/>
      <c r="Q107" s="176"/>
      <c r="R107" s="176"/>
      <c r="S107" s="176"/>
      <c r="T107" s="176"/>
      <c r="U107" s="176"/>
      <c r="V107" s="177"/>
      <c r="W107" s="176"/>
      <c r="X107" s="177"/>
      <c r="Y107" s="178"/>
      <c r="Z107" s="176"/>
      <c r="AA107" s="260"/>
    </row>
    <row r="108" spans="1:27">
      <c r="A108" s="170" t="s">
        <v>314</v>
      </c>
      <c r="B108" s="170" t="s">
        <v>315</v>
      </c>
      <c r="C108" s="170">
        <v>20</v>
      </c>
      <c r="D108" s="171" t="s">
        <v>108</v>
      </c>
      <c r="E108" s="483">
        <v>202.5</v>
      </c>
      <c r="F108" s="170">
        <v>1</v>
      </c>
      <c r="G108" s="204">
        <f>IF(B$3 =1, H108*C108, H108/C108)</f>
        <v>0</v>
      </c>
      <c r="H108" s="173">
        <f>+Purchases!C13</f>
        <v>0</v>
      </c>
      <c r="I108" s="174">
        <f>IF(B$3 = 1, H108*E108, (H108/C108) *E108)</f>
        <v>0</v>
      </c>
      <c r="J108" s="175">
        <f>IF($B$3 =1, H108*F108, (H108/C108) *F108)</f>
        <v>0</v>
      </c>
      <c r="K108" s="170"/>
      <c r="L108" s="173" t="s">
        <v>119</v>
      </c>
      <c r="M108" s="174" t="s">
        <v>119</v>
      </c>
      <c r="N108" s="175" t="s">
        <v>119</v>
      </c>
      <c r="O108" s="171" t="s">
        <v>119</v>
      </c>
      <c r="P108" s="487">
        <v>45567</v>
      </c>
      <c r="Q108" s="488"/>
      <c r="R108" s="488"/>
      <c r="S108" s="488"/>
      <c r="T108" s="489"/>
      <c r="U108" s="488" t="s">
        <v>316</v>
      </c>
      <c r="V108" s="177" t="s">
        <v>317</v>
      </c>
      <c r="W108" s="176"/>
      <c r="X108" s="177" t="s">
        <v>112</v>
      </c>
      <c r="Y108" s="178" t="s">
        <v>120</v>
      </c>
      <c r="Z108" s="176" t="s">
        <v>155</v>
      </c>
      <c r="AA108" s="260"/>
    </row>
    <row r="109" spans="1:27">
      <c r="A109" s="170" t="s">
        <v>314</v>
      </c>
      <c r="B109" s="170" t="s">
        <v>318</v>
      </c>
      <c r="C109" s="170">
        <v>1000</v>
      </c>
      <c r="D109" s="171" t="s">
        <v>102</v>
      </c>
      <c r="E109" s="483">
        <v>10125</v>
      </c>
      <c r="F109" s="170">
        <v>50</v>
      </c>
      <c r="G109" s="204">
        <f>IF(B$3 =1, H109*C109, H109/C109)</f>
        <v>0</v>
      </c>
      <c r="H109" s="173">
        <f>+Purchases!C14</f>
        <v>0</v>
      </c>
      <c r="I109" s="174">
        <f>IF(B$3 = 1, H109*E109, (H109/C109) *E109)</f>
        <v>0</v>
      </c>
      <c r="J109" s="175">
        <f>IF($B$3 =1, H109*F109, (H109/C109) *F109)</f>
        <v>0</v>
      </c>
      <c r="K109" s="170"/>
      <c r="L109" s="173">
        <f>IF( $B$3 = 1,  SUM(G108:G109), SUM(H108:H109) )</f>
        <v>0</v>
      </c>
      <c r="M109" s="174">
        <f>SUM(I108:I109)</f>
        <v>0</v>
      </c>
      <c r="N109" s="175">
        <f>SUM(J108:J109)</f>
        <v>0</v>
      </c>
      <c r="O109" s="171" t="str">
        <f>+A109</f>
        <v xml:space="preserve">BUCTRIL M </v>
      </c>
      <c r="P109" s="487">
        <v>45567</v>
      </c>
      <c r="Q109" s="488"/>
      <c r="R109" s="488"/>
      <c r="S109" s="488"/>
      <c r="T109" s="489"/>
      <c r="U109" s="488" t="s">
        <v>316</v>
      </c>
      <c r="V109" s="177" t="s">
        <v>317</v>
      </c>
      <c r="W109" s="176"/>
      <c r="X109" s="177" t="s">
        <v>112</v>
      </c>
      <c r="Y109" s="178" t="s">
        <v>278</v>
      </c>
      <c r="Z109" s="181" t="s">
        <v>158</v>
      </c>
      <c r="AA109" s="259">
        <f>IF(M109 &gt;= 1000, 1, 0)</f>
        <v>0</v>
      </c>
    </row>
    <row r="110" spans="1:27">
      <c r="A110" s="170" t="s">
        <v>319</v>
      </c>
      <c r="B110" s="170" t="s">
        <v>320</v>
      </c>
      <c r="C110" s="170">
        <v>20</v>
      </c>
      <c r="D110" s="171" t="s">
        <v>108</v>
      </c>
      <c r="E110" s="495">
        <v>496</v>
      </c>
      <c r="F110" s="170">
        <v>1</v>
      </c>
      <c r="G110" s="204">
        <f t="shared" ref="G110:G120" si="39">IF(B$3 =1, H110*C110, H110/C110)</f>
        <v>0</v>
      </c>
      <c r="H110" s="173">
        <f>+Purchases!C15</f>
        <v>0</v>
      </c>
      <c r="I110" s="174">
        <f t="shared" ref="I110:I120" si="40">IF(B$3 = 1, H110*E110, (H110/C110) *E110)</f>
        <v>0</v>
      </c>
      <c r="J110" s="175">
        <f t="shared" ref="J110:J120" si="41">IF($B$3 =1, H110*F110, (H110/C110) *F110)</f>
        <v>0</v>
      </c>
      <c r="K110" s="170"/>
      <c r="L110" s="173">
        <f t="shared" ref="L110:L119" si="42">IF( $B$3 = 1,  G110,H110 )</f>
        <v>0</v>
      </c>
      <c r="M110" s="174">
        <f t="shared" ref="M110:M119" si="43">+I110</f>
        <v>0</v>
      </c>
      <c r="N110" s="175">
        <f t="shared" ref="N110:N119" si="44">+J110</f>
        <v>0</v>
      </c>
      <c r="O110" s="171" t="str">
        <f t="shared" ref="O110:O119" si="45">+A110</f>
        <v>CONVERGE FLEXX</v>
      </c>
      <c r="P110" s="502">
        <v>45588</v>
      </c>
      <c r="Q110" s="176"/>
      <c r="R110" s="176"/>
      <c r="S110" s="176"/>
      <c r="T110" s="489"/>
      <c r="U110" s="176" t="s">
        <v>321</v>
      </c>
      <c r="V110" s="177" t="s">
        <v>317</v>
      </c>
      <c r="W110" s="176"/>
      <c r="X110" s="177" t="s">
        <v>112</v>
      </c>
      <c r="Y110" s="178" t="s">
        <v>322</v>
      </c>
      <c r="Z110" s="181" t="s">
        <v>155</v>
      </c>
      <c r="AA110" s="259">
        <f t="shared" ref="AA110:AA142" si="46">IF(M110 &gt;= 1000, 1, 0)</f>
        <v>0</v>
      </c>
    </row>
    <row r="111" spans="1:27">
      <c r="A111" s="170" t="s">
        <v>323</v>
      </c>
      <c r="B111" s="170" t="s">
        <v>324</v>
      </c>
      <c r="C111" s="170">
        <v>20</v>
      </c>
      <c r="D111" s="171" t="s">
        <v>108</v>
      </c>
      <c r="E111" s="483">
        <v>688.5</v>
      </c>
      <c r="F111" s="170">
        <v>1</v>
      </c>
      <c r="G111" s="204">
        <f t="shared" si="39"/>
        <v>0</v>
      </c>
      <c r="H111" s="173">
        <f>+Purchases!C16</f>
        <v>0</v>
      </c>
      <c r="I111" s="174">
        <f t="shared" si="40"/>
        <v>0</v>
      </c>
      <c r="J111" s="175">
        <f t="shared" si="41"/>
        <v>0</v>
      </c>
      <c r="K111" s="170"/>
      <c r="L111" s="173">
        <f t="shared" si="42"/>
        <v>0</v>
      </c>
      <c r="M111" s="174">
        <f t="shared" si="43"/>
        <v>0</v>
      </c>
      <c r="N111" s="175">
        <f t="shared" si="44"/>
        <v>0</v>
      </c>
      <c r="O111" s="171" t="str">
        <f t="shared" si="45"/>
        <v>CONVERGE XT</v>
      </c>
      <c r="P111" s="487">
        <v>45567</v>
      </c>
      <c r="Q111" s="488"/>
      <c r="R111" s="488"/>
      <c r="S111" s="488"/>
      <c r="T111" s="489"/>
      <c r="U111" s="488" t="s">
        <v>316</v>
      </c>
      <c r="V111" s="177" t="s">
        <v>317</v>
      </c>
      <c r="W111" s="176"/>
      <c r="X111" s="177" t="s">
        <v>112</v>
      </c>
      <c r="Y111" s="178" t="s">
        <v>325</v>
      </c>
      <c r="Z111" s="181" t="s">
        <v>326</v>
      </c>
      <c r="AA111" s="259">
        <f t="shared" si="46"/>
        <v>0</v>
      </c>
    </row>
    <row r="112" spans="1:27">
      <c r="A112" s="170" t="s">
        <v>327</v>
      </c>
      <c r="B112" s="170" t="s">
        <v>328</v>
      </c>
      <c r="C112" s="170">
        <v>30</v>
      </c>
      <c r="D112" s="171" t="s">
        <v>108</v>
      </c>
      <c r="E112" s="483">
        <v>688</v>
      </c>
      <c r="F112" s="170">
        <v>1</v>
      </c>
      <c r="G112" s="204">
        <f t="shared" si="39"/>
        <v>0</v>
      </c>
      <c r="H112" s="173">
        <f>+Purchases!C18</f>
        <v>0</v>
      </c>
      <c r="I112" s="174">
        <f t="shared" si="40"/>
        <v>0</v>
      </c>
      <c r="J112" s="175">
        <f t="shared" si="41"/>
        <v>0</v>
      </c>
      <c r="K112" s="170"/>
      <c r="L112" s="173">
        <f t="shared" si="42"/>
        <v>0</v>
      </c>
      <c r="M112" s="174">
        <f t="shared" si="43"/>
        <v>0</v>
      </c>
      <c r="N112" s="175">
        <f t="shared" si="44"/>
        <v>0</v>
      </c>
      <c r="O112" s="171" t="str">
        <f t="shared" si="45"/>
        <v>DELARO COMPLETE</v>
      </c>
      <c r="P112" s="487">
        <v>45567</v>
      </c>
      <c r="Q112" s="488"/>
      <c r="R112" s="488"/>
      <c r="S112" s="488"/>
      <c r="T112" s="489"/>
      <c r="U112" s="488" t="s">
        <v>316</v>
      </c>
      <c r="V112" s="177" t="s">
        <v>317</v>
      </c>
      <c r="W112" s="176"/>
      <c r="X112" s="177" t="s">
        <v>130</v>
      </c>
      <c r="Y112" s="178" t="s">
        <v>329</v>
      </c>
      <c r="Z112" s="181" t="s">
        <v>155</v>
      </c>
      <c r="AA112" s="260" t="s">
        <v>119</v>
      </c>
    </row>
    <row r="113" spans="1:29">
      <c r="A113" s="170" t="s">
        <v>151</v>
      </c>
      <c r="B113" s="170" t="s">
        <v>330</v>
      </c>
      <c r="C113" s="170">
        <v>20</v>
      </c>
      <c r="D113" s="171" t="s">
        <v>108</v>
      </c>
      <c r="E113" s="483">
        <v>322.25</v>
      </c>
      <c r="F113" s="170">
        <v>1</v>
      </c>
      <c r="G113" s="204">
        <f t="shared" si="39"/>
        <v>0</v>
      </c>
      <c r="H113" s="173">
        <f>+Purchases!C22</f>
        <v>0</v>
      </c>
      <c r="I113" s="174">
        <f t="shared" si="40"/>
        <v>0</v>
      </c>
      <c r="J113" s="175">
        <f t="shared" si="41"/>
        <v>0</v>
      </c>
      <c r="K113" s="170"/>
      <c r="L113" s="173"/>
      <c r="M113" s="174"/>
      <c r="N113" s="175"/>
      <c r="O113" s="171"/>
      <c r="P113" s="487">
        <v>45567</v>
      </c>
      <c r="Q113" s="488"/>
      <c r="R113" s="488"/>
      <c r="S113" s="488"/>
      <c r="T113" s="489"/>
      <c r="U113" s="488" t="s">
        <v>316</v>
      </c>
      <c r="V113" s="177" t="s">
        <v>317</v>
      </c>
      <c r="W113" s="176"/>
      <c r="X113" s="177" t="s">
        <v>112</v>
      </c>
      <c r="Y113" s="178" t="s">
        <v>143</v>
      </c>
      <c r="Z113" s="181" t="s">
        <v>155</v>
      </c>
      <c r="AA113" s="260" t="s">
        <v>119</v>
      </c>
    </row>
    <row r="114" spans="1:29">
      <c r="A114" s="170" t="s">
        <v>151</v>
      </c>
      <c r="B114" s="170" t="s">
        <v>331</v>
      </c>
      <c r="C114" s="170">
        <v>1000</v>
      </c>
      <c r="D114" s="171" t="s">
        <v>102</v>
      </c>
      <c r="E114" s="483">
        <v>16112.5</v>
      </c>
      <c r="F114" s="170">
        <v>50</v>
      </c>
      <c r="G114" s="204">
        <f t="shared" si="39"/>
        <v>0</v>
      </c>
      <c r="H114" s="173">
        <f>+Purchases!C23</f>
        <v>0</v>
      </c>
      <c r="I114" s="174">
        <f t="shared" si="40"/>
        <v>0</v>
      </c>
      <c r="J114" s="175">
        <f t="shared" si="41"/>
        <v>0</v>
      </c>
      <c r="K114" s="170"/>
      <c r="L114" s="173">
        <f>IF( $B$3 = 1,  SUM(G113:G114), SUM(H113:H114) )</f>
        <v>0</v>
      </c>
      <c r="M114" s="174">
        <f>SUM(I113:I114)</f>
        <v>0</v>
      </c>
      <c r="N114" s="175">
        <f>SUM(J113:J114)</f>
        <v>0</v>
      </c>
      <c r="O114" s="171" t="str">
        <f>+A114</f>
        <v>INFINITY FX</v>
      </c>
      <c r="P114" s="487">
        <v>45567</v>
      </c>
      <c r="Q114" s="488"/>
      <c r="R114" s="488"/>
      <c r="S114" s="488"/>
      <c r="T114" s="489"/>
      <c r="U114" s="488" t="s">
        <v>316</v>
      </c>
      <c r="V114" s="177" t="s">
        <v>317</v>
      </c>
      <c r="W114" s="176"/>
      <c r="X114" s="177" t="s">
        <v>112</v>
      </c>
      <c r="Y114" s="178" t="s">
        <v>157</v>
      </c>
      <c r="Z114" s="181" t="s">
        <v>158</v>
      </c>
      <c r="AA114" s="259">
        <f t="shared" si="46"/>
        <v>0</v>
      </c>
    </row>
    <row r="115" spans="1:29">
      <c r="A115" s="170" t="s">
        <v>144</v>
      </c>
      <c r="B115" s="170" t="s">
        <v>332</v>
      </c>
      <c r="C115" s="170">
        <v>20</v>
      </c>
      <c r="D115" s="171" t="s">
        <v>108</v>
      </c>
      <c r="E115" s="495">
        <v>258</v>
      </c>
      <c r="F115" s="170">
        <v>1</v>
      </c>
      <c r="G115" s="204">
        <f t="shared" si="39"/>
        <v>0</v>
      </c>
      <c r="H115" s="173">
        <f>+Purchases!C20</f>
        <v>0</v>
      </c>
      <c r="I115" s="174">
        <f t="shared" si="40"/>
        <v>0</v>
      </c>
      <c r="J115" s="175">
        <f t="shared" si="41"/>
        <v>0</v>
      </c>
      <c r="K115" s="170"/>
      <c r="L115" s="173"/>
      <c r="M115" s="174"/>
      <c r="N115" s="175"/>
      <c r="O115" s="171"/>
      <c r="P115" s="502">
        <v>45588</v>
      </c>
      <c r="Q115" s="176"/>
      <c r="R115" s="176"/>
      <c r="S115" s="176"/>
      <c r="T115" s="489"/>
      <c r="U115" s="176" t="s">
        <v>321</v>
      </c>
      <c r="V115" s="177" t="s">
        <v>317</v>
      </c>
      <c r="W115" s="176"/>
      <c r="X115" s="177" t="s">
        <v>112</v>
      </c>
      <c r="Y115" s="178" t="s">
        <v>146</v>
      </c>
      <c r="Z115" s="181" t="s">
        <v>155</v>
      </c>
      <c r="AA115" s="260" t="s">
        <v>119</v>
      </c>
    </row>
    <row r="116" spans="1:29">
      <c r="A116" s="170" t="s">
        <v>144</v>
      </c>
      <c r="B116" s="170" t="s">
        <v>333</v>
      </c>
      <c r="C116" s="170">
        <v>1000</v>
      </c>
      <c r="D116" s="171" t="s">
        <v>102</v>
      </c>
      <c r="E116" s="495">
        <v>12900</v>
      </c>
      <c r="F116" s="170">
        <v>50</v>
      </c>
      <c r="G116" s="204">
        <f t="shared" si="39"/>
        <v>0</v>
      </c>
      <c r="H116" s="173">
        <f>+Purchases!C21</f>
        <v>0</v>
      </c>
      <c r="I116" s="174">
        <f t="shared" si="40"/>
        <v>0</v>
      </c>
      <c r="J116" s="175">
        <f t="shared" si="41"/>
        <v>0</v>
      </c>
      <c r="K116" s="170"/>
      <c r="L116" s="173">
        <f>IF( $B$3 = 1,  SUM(G115:G116), SUM(H115:H116) )</f>
        <v>0</v>
      </c>
      <c r="M116" s="174">
        <f>SUM(I115:I116)</f>
        <v>0</v>
      </c>
      <c r="N116" s="175">
        <f>SUM(J115:J116)</f>
        <v>0</v>
      </c>
      <c r="O116" s="171" t="str">
        <f>+A116</f>
        <v>INFINITY</v>
      </c>
      <c r="P116" s="502">
        <v>45588</v>
      </c>
      <c r="Q116" s="176"/>
      <c r="R116" s="176"/>
      <c r="S116" s="176"/>
      <c r="T116" s="489"/>
      <c r="U116" s="176" t="s">
        <v>321</v>
      </c>
      <c r="V116" s="177" t="s">
        <v>317</v>
      </c>
      <c r="W116" s="176"/>
      <c r="X116" s="177" t="s">
        <v>112</v>
      </c>
      <c r="Y116" s="178" t="s">
        <v>150</v>
      </c>
      <c r="Z116" s="181" t="s">
        <v>158</v>
      </c>
      <c r="AA116" s="259">
        <f t="shared" si="46"/>
        <v>0</v>
      </c>
    </row>
    <row r="117" spans="1:29">
      <c r="A117" s="170" t="s">
        <v>334</v>
      </c>
      <c r="B117" s="170" t="s">
        <v>335</v>
      </c>
      <c r="C117" s="170">
        <v>10</v>
      </c>
      <c r="D117" s="171" t="s">
        <v>108</v>
      </c>
      <c r="E117" s="495">
        <v>283.75</v>
      </c>
      <c r="F117" s="170">
        <v>1</v>
      </c>
      <c r="G117" s="204">
        <f t="shared" si="39"/>
        <v>0</v>
      </c>
      <c r="H117" s="173">
        <f>+Purchases!C25</f>
        <v>0</v>
      </c>
      <c r="I117" s="174">
        <f t="shared" si="40"/>
        <v>0</v>
      </c>
      <c r="J117" s="175">
        <f t="shared" si="41"/>
        <v>0</v>
      </c>
      <c r="K117" s="170"/>
      <c r="L117" s="173">
        <f t="shared" si="42"/>
        <v>0</v>
      </c>
      <c r="M117" s="174">
        <f t="shared" si="43"/>
        <v>0</v>
      </c>
      <c r="N117" s="175">
        <f t="shared" si="44"/>
        <v>0</v>
      </c>
      <c r="O117" s="171" t="str">
        <f t="shared" si="45"/>
        <v>OPTION LIQUID</v>
      </c>
      <c r="P117" s="502">
        <v>45588</v>
      </c>
      <c r="Q117" s="176"/>
      <c r="R117" s="176"/>
      <c r="S117" s="176"/>
      <c r="T117" s="489"/>
      <c r="U117" s="176" t="s">
        <v>321</v>
      </c>
      <c r="V117" s="177" t="s">
        <v>317</v>
      </c>
      <c r="W117" s="176"/>
      <c r="X117" s="177" t="s">
        <v>112</v>
      </c>
      <c r="Y117" s="178" t="s">
        <v>336</v>
      </c>
      <c r="Z117" s="181" t="s">
        <v>155</v>
      </c>
      <c r="AA117" s="259">
        <f t="shared" si="46"/>
        <v>0</v>
      </c>
      <c r="AC117" s="314"/>
    </row>
    <row r="118" spans="1:29">
      <c r="A118" s="170" t="s">
        <v>183</v>
      </c>
      <c r="B118" s="170" t="s">
        <v>337</v>
      </c>
      <c r="C118" s="170">
        <v>30</v>
      </c>
      <c r="D118" s="171" t="s">
        <v>108</v>
      </c>
      <c r="E118" s="483">
        <v>664.7</v>
      </c>
      <c r="F118" s="170">
        <v>1</v>
      </c>
      <c r="G118" s="204">
        <f t="shared" si="39"/>
        <v>0</v>
      </c>
      <c r="H118" s="173">
        <f>+Purchases!C26</f>
        <v>0</v>
      </c>
      <c r="I118" s="174">
        <f t="shared" si="40"/>
        <v>0</v>
      </c>
      <c r="J118" s="175">
        <f t="shared" si="41"/>
        <v>0</v>
      </c>
      <c r="K118" s="170"/>
      <c r="L118" s="173">
        <f t="shared" si="42"/>
        <v>0</v>
      </c>
      <c r="M118" s="174">
        <f t="shared" si="43"/>
        <v>0</v>
      </c>
      <c r="N118" s="175">
        <f t="shared" si="44"/>
        <v>0</v>
      </c>
      <c r="O118" s="171" t="str">
        <f t="shared" si="45"/>
        <v>PROLINE</v>
      </c>
      <c r="P118" s="487">
        <v>45567</v>
      </c>
      <c r="Q118" s="488"/>
      <c r="R118" s="488"/>
      <c r="S118" s="488"/>
      <c r="T118" s="489"/>
      <c r="U118" s="488" t="s">
        <v>316</v>
      </c>
      <c r="V118" s="177" t="s">
        <v>317</v>
      </c>
      <c r="W118" s="176"/>
      <c r="X118" s="177" t="s">
        <v>130</v>
      </c>
      <c r="Y118" s="178" t="s">
        <v>185</v>
      </c>
      <c r="Z118" s="181" t="s">
        <v>155</v>
      </c>
      <c r="AA118" s="259">
        <f t="shared" si="46"/>
        <v>0</v>
      </c>
    </row>
    <row r="119" spans="1:29">
      <c r="A119" s="170" t="s">
        <v>338</v>
      </c>
      <c r="B119" s="170" t="s">
        <v>339</v>
      </c>
      <c r="C119" s="170">
        <v>20</v>
      </c>
      <c r="D119" s="171" t="s">
        <v>108</v>
      </c>
      <c r="E119" s="483">
        <v>737</v>
      </c>
      <c r="F119" s="170">
        <v>1</v>
      </c>
      <c r="G119" s="204">
        <f t="shared" si="39"/>
        <v>0</v>
      </c>
      <c r="H119" s="173">
        <f>+Purchases!C27</f>
        <v>0</v>
      </c>
      <c r="I119" s="174">
        <f t="shared" si="40"/>
        <v>0</v>
      </c>
      <c r="J119" s="175">
        <f t="shared" si="41"/>
        <v>0</v>
      </c>
      <c r="K119" s="170"/>
      <c r="L119" s="173">
        <f t="shared" si="42"/>
        <v>0</v>
      </c>
      <c r="M119" s="174">
        <f t="shared" si="43"/>
        <v>0</v>
      </c>
      <c r="N119" s="175">
        <f t="shared" si="44"/>
        <v>0</v>
      </c>
      <c r="O119" s="171" t="str">
        <f t="shared" si="45"/>
        <v>PROPULSE</v>
      </c>
      <c r="P119" s="487">
        <v>45567</v>
      </c>
      <c r="Q119" s="488"/>
      <c r="R119" s="488"/>
      <c r="S119" s="488"/>
      <c r="T119" s="489"/>
      <c r="U119" s="488" t="s">
        <v>316</v>
      </c>
      <c r="V119" s="177" t="s">
        <v>317</v>
      </c>
      <c r="W119" s="176"/>
      <c r="X119" s="177" t="s">
        <v>130</v>
      </c>
      <c r="Y119" s="178" t="s">
        <v>340</v>
      </c>
      <c r="Z119" s="181" t="s">
        <v>155</v>
      </c>
      <c r="AA119" s="259">
        <f t="shared" si="46"/>
        <v>0</v>
      </c>
    </row>
    <row r="120" spans="1:29">
      <c r="A120" s="170" t="s">
        <v>192</v>
      </c>
      <c r="B120" s="170" t="s">
        <v>341</v>
      </c>
      <c r="C120" s="170">
        <v>20</v>
      </c>
      <c r="D120" s="171" t="s">
        <v>108</v>
      </c>
      <c r="E120" s="495">
        <v>463</v>
      </c>
      <c r="F120" s="170">
        <v>1</v>
      </c>
      <c r="G120" s="204">
        <f t="shared" si="39"/>
        <v>0</v>
      </c>
      <c r="H120" s="173">
        <f>+Purchases!C30</f>
        <v>0</v>
      </c>
      <c r="I120" s="174">
        <f t="shared" si="40"/>
        <v>0</v>
      </c>
      <c r="J120" s="175">
        <f t="shared" si="41"/>
        <v>0</v>
      </c>
      <c r="K120" s="170"/>
      <c r="L120" s="173"/>
      <c r="M120" s="174"/>
      <c r="N120" s="175"/>
      <c r="O120" s="171"/>
      <c r="P120" s="502">
        <v>45588</v>
      </c>
      <c r="Q120" s="176"/>
      <c r="R120" s="176"/>
      <c r="S120" s="176"/>
      <c r="T120" s="489"/>
      <c r="U120" s="176" t="s">
        <v>321</v>
      </c>
      <c r="V120" s="177" t="s">
        <v>317</v>
      </c>
      <c r="W120" s="176"/>
      <c r="X120" s="177" t="s">
        <v>130</v>
      </c>
      <c r="Y120" s="178" t="s">
        <v>189</v>
      </c>
      <c r="Z120" s="181" t="s">
        <v>155</v>
      </c>
      <c r="AA120" s="260" t="s">
        <v>119</v>
      </c>
    </row>
    <row r="121" spans="1:29">
      <c r="A121" s="170" t="s">
        <v>192</v>
      </c>
      <c r="B121" s="170" t="s">
        <v>342</v>
      </c>
      <c r="C121" s="170">
        <v>320</v>
      </c>
      <c r="D121" s="171" t="s">
        <v>102</v>
      </c>
      <c r="E121" s="495">
        <v>7408</v>
      </c>
      <c r="F121" s="170">
        <v>16</v>
      </c>
      <c r="G121" s="204">
        <f>IF(B$3 =1, H121*C121, H121/C121)</f>
        <v>0</v>
      </c>
      <c r="H121" s="173">
        <f>+Purchases!C31</f>
        <v>0</v>
      </c>
      <c r="I121" s="174">
        <f>IF(B$3 = 1, H121*E121, (H121/C121) *E121)</f>
        <v>0</v>
      </c>
      <c r="J121" s="175">
        <f>IF($B$3 =1, H121*F121, (H121/C121) *F121)</f>
        <v>0</v>
      </c>
      <c r="K121" s="170"/>
      <c r="L121" s="173">
        <f>IF( $B$3 = 1,  SUM(G120:G121), SUM(H120:H121) )</f>
        <v>0</v>
      </c>
      <c r="M121" s="174">
        <f>SUM(I120:I121)</f>
        <v>0</v>
      </c>
      <c r="N121" s="175">
        <f>SUM(J120:J121)</f>
        <v>0</v>
      </c>
      <c r="O121" s="171" t="str">
        <f>+A121</f>
        <v>PROSARO XTR</v>
      </c>
      <c r="P121" s="502">
        <v>45588</v>
      </c>
      <c r="Q121" s="176"/>
      <c r="R121" s="176"/>
      <c r="S121" s="176"/>
      <c r="T121" s="489"/>
      <c r="U121" s="176" t="s">
        <v>321</v>
      </c>
      <c r="V121" s="177" t="s">
        <v>317</v>
      </c>
      <c r="W121" s="176"/>
      <c r="X121" s="177" t="s">
        <v>130</v>
      </c>
      <c r="Y121" s="178" t="s">
        <v>191</v>
      </c>
      <c r="Z121" s="181" t="s">
        <v>161</v>
      </c>
      <c r="AA121" s="259">
        <f t="shared" si="46"/>
        <v>0</v>
      </c>
    </row>
    <row r="122" spans="1:29">
      <c r="A122" s="170" t="s">
        <v>195</v>
      </c>
      <c r="B122" s="170" t="s">
        <v>343</v>
      </c>
      <c r="C122" s="170">
        <v>20</v>
      </c>
      <c r="D122" s="171" t="s">
        <v>108</v>
      </c>
      <c r="E122" s="483">
        <v>242.25</v>
      </c>
      <c r="F122" s="170">
        <v>1</v>
      </c>
      <c r="G122" s="204">
        <f t="shared" ref="G122:G136" si="47">IF(B$3 =1, H122*C122, H122/C122)</f>
        <v>0</v>
      </c>
      <c r="H122" s="173">
        <f>+Purchases!C32</f>
        <v>0</v>
      </c>
      <c r="I122" s="174">
        <f t="shared" ref="I122:I136" si="48">IF(B$3 = 1, H122*E122, (H122/C122) *E122)</f>
        <v>0</v>
      </c>
      <c r="J122" s="175">
        <f t="shared" ref="J122:J136" si="49">IF($B$3 =1, H122*F122, (H122/C122) *F122)</f>
        <v>0</v>
      </c>
      <c r="K122" s="170"/>
      <c r="L122" s="173">
        <f t="shared" ref="L122:L136" si="50">IF( $B$3 = 1,  G122,H122 )</f>
        <v>0</v>
      </c>
      <c r="M122" s="174">
        <f t="shared" ref="M122:M136" si="51">+I122</f>
        <v>0</v>
      </c>
      <c r="N122" s="175">
        <f t="shared" ref="N122:N136" si="52">+J122</f>
        <v>0</v>
      </c>
      <c r="O122" s="171" t="str">
        <f t="shared" ref="O122:O136" si="53">+A122</f>
        <v>PUMA ADVANCE</v>
      </c>
      <c r="P122" s="487">
        <v>45567</v>
      </c>
      <c r="Q122" s="488"/>
      <c r="R122" s="488"/>
      <c r="S122" s="488"/>
      <c r="T122" s="489"/>
      <c r="U122" s="488" t="s">
        <v>316</v>
      </c>
      <c r="V122" s="177" t="s">
        <v>317</v>
      </c>
      <c r="W122" s="176"/>
      <c r="X122" s="177" t="s">
        <v>112</v>
      </c>
      <c r="Y122" s="178" t="s">
        <v>197</v>
      </c>
      <c r="Z122" s="181" t="s">
        <v>155</v>
      </c>
      <c r="AA122" s="259">
        <f t="shared" si="46"/>
        <v>0</v>
      </c>
    </row>
    <row r="123" spans="1:29">
      <c r="A123" s="170" t="s">
        <v>215</v>
      </c>
      <c r="B123" s="170" t="s">
        <v>344</v>
      </c>
      <c r="C123" s="170">
        <v>5</v>
      </c>
      <c r="D123" s="171" t="s">
        <v>108</v>
      </c>
      <c r="E123" s="547">
        <v>110</v>
      </c>
      <c r="F123" s="170">
        <v>1</v>
      </c>
      <c r="G123" s="204">
        <f t="shared" si="47"/>
        <v>0</v>
      </c>
      <c r="H123" s="173">
        <f>+Purchases!G19</f>
        <v>0</v>
      </c>
      <c r="I123" s="174">
        <f t="shared" si="48"/>
        <v>0</v>
      </c>
      <c r="J123" s="175">
        <f t="shared" si="49"/>
        <v>0</v>
      </c>
      <c r="K123" s="170"/>
      <c r="L123" s="173"/>
      <c r="M123" s="174"/>
      <c r="N123" s="175"/>
      <c r="O123" s="171"/>
      <c r="P123" s="252">
        <v>45223</v>
      </c>
      <c r="Q123" s="176"/>
      <c r="R123" s="176"/>
      <c r="S123" s="176"/>
      <c r="T123" s="489"/>
      <c r="U123" s="176" t="s">
        <v>321</v>
      </c>
      <c r="V123" s="177" t="s">
        <v>317</v>
      </c>
      <c r="W123" s="176"/>
      <c r="X123" s="177" t="s">
        <v>112</v>
      </c>
      <c r="Y123" s="178" t="s">
        <v>116</v>
      </c>
      <c r="Z123" s="181" t="s">
        <v>155</v>
      </c>
      <c r="AA123" s="260" t="s">
        <v>119</v>
      </c>
      <c r="AB123" s="314" t="str">
        <f>+LEFT(B123,15) &amp;  "(" &amp; Y123 &amp; ")"</f>
        <v>ROUNDUP XTEND® (10 L)</v>
      </c>
    </row>
    <row r="124" spans="1:29">
      <c r="A124" s="170" t="s">
        <v>215</v>
      </c>
      <c r="B124" s="170" t="s">
        <v>345</v>
      </c>
      <c r="C124" s="170">
        <v>225</v>
      </c>
      <c r="D124" s="171" t="s">
        <v>102</v>
      </c>
      <c r="E124" s="547">
        <v>4950</v>
      </c>
      <c r="F124" s="170">
        <v>45</v>
      </c>
      <c r="G124" s="204">
        <f t="shared" si="47"/>
        <v>0</v>
      </c>
      <c r="H124" s="173">
        <f>+Purchases!G20</f>
        <v>0</v>
      </c>
      <c r="I124" s="174">
        <f t="shared" si="48"/>
        <v>0</v>
      </c>
      <c r="J124" s="175">
        <f t="shared" si="49"/>
        <v>0</v>
      </c>
      <c r="K124" s="170"/>
      <c r="L124" s="173"/>
      <c r="M124" s="174"/>
      <c r="N124" s="175"/>
      <c r="O124" s="171" t="str">
        <f>+A124</f>
        <v>ROUNDUP XTEND</v>
      </c>
      <c r="P124" s="252">
        <v>45223</v>
      </c>
      <c r="Q124" s="176"/>
      <c r="R124" s="176"/>
      <c r="S124" s="176"/>
      <c r="T124" s="489"/>
      <c r="U124" s="176" t="s">
        <v>321</v>
      </c>
      <c r="V124" s="177" t="s">
        <v>317</v>
      </c>
      <c r="W124" s="176"/>
      <c r="X124" s="177" t="s">
        <v>112</v>
      </c>
      <c r="Y124" s="178" t="s">
        <v>223</v>
      </c>
      <c r="Z124" s="181" t="s">
        <v>158</v>
      </c>
      <c r="AA124" s="260" t="s">
        <v>119</v>
      </c>
      <c r="AB124" s="314" t="str">
        <f>+LEFT(B124,15) &amp; "(" &amp; Y124 &amp; ")"</f>
        <v>ROUNDUP XTEND® (450 L)</v>
      </c>
    </row>
    <row r="125" spans="1:29">
      <c r="A125" s="170" t="s">
        <v>346</v>
      </c>
      <c r="B125" s="170" t="s">
        <v>347</v>
      </c>
      <c r="C125" s="170">
        <v>7</v>
      </c>
      <c r="D125" s="171" t="s">
        <v>108</v>
      </c>
      <c r="E125" s="483">
        <v>149.5</v>
      </c>
      <c r="F125" s="170">
        <v>1</v>
      </c>
      <c r="G125" s="204">
        <f t="shared" ref="G125:G126" si="54">IF(B$3 =1, H125*C125, H125/C125)</f>
        <v>0</v>
      </c>
      <c r="H125" s="173">
        <f>+Purchases!G21</f>
        <v>0</v>
      </c>
      <c r="I125" s="174">
        <f t="shared" ref="I125:I126" si="55">IF(B$3 = 1, H125*E125, (H125/C125) *E125)</f>
        <v>0</v>
      </c>
      <c r="J125" s="175">
        <f t="shared" ref="J125:J126" si="56">IF($B$3 =1, H125*F125, (H125/C125) *F125)</f>
        <v>0</v>
      </c>
      <c r="K125" s="170"/>
      <c r="L125" s="173"/>
      <c r="M125" s="174"/>
      <c r="N125" s="175"/>
      <c r="O125" s="171"/>
      <c r="P125" s="487">
        <v>45567</v>
      </c>
      <c r="Q125" s="488"/>
      <c r="R125" s="488"/>
      <c r="S125" s="488"/>
      <c r="T125" s="489"/>
      <c r="U125" s="488" t="s">
        <v>316</v>
      </c>
      <c r="V125" s="177" t="s">
        <v>317</v>
      </c>
      <c r="W125" s="176"/>
      <c r="X125" s="177" t="s">
        <v>112</v>
      </c>
      <c r="Y125" s="178" t="s">
        <v>116</v>
      </c>
      <c r="Z125" s="181" t="s">
        <v>155</v>
      </c>
      <c r="AA125" s="260" t="s">
        <v>119</v>
      </c>
      <c r="AB125" s="314" t="str">
        <f>+LEFT(B126,17)  &amp; "(" &amp; Y125 &amp; ")"</f>
        <v>ROUNDUP XTEND® 2 (10 L)</v>
      </c>
    </row>
    <row r="126" spans="1:29">
      <c r="A126" s="170" t="s">
        <v>346</v>
      </c>
      <c r="B126" s="170" t="s">
        <v>348</v>
      </c>
      <c r="C126" s="170">
        <v>315</v>
      </c>
      <c r="D126" s="171" t="s">
        <v>102</v>
      </c>
      <c r="E126" s="483">
        <v>6727.5</v>
      </c>
      <c r="F126" s="170">
        <v>45</v>
      </c>
      <c r="G126" s="204">
        <f t="shared" si="54"/>
        <v>0</v>
      </c>
      <c r="H126" s="173">
        <f>+Purchases!G22</f>
        <v>0</v>
      </c>
      <c r="I126" s="174">
        <f t="shared" si="55"/>
        <v>0</v>
      </c>
      <c r="J126" s="175">
        <f t="shared" si="56"/>
        <v>0</v>
      </c>
      <c r="K126" s="170"/>
      <c r="L126" s="173">
        <f>IF( $B$3 = 1,  SUM(G123:G126), SUM(H123:H126) )</f>
        <v>0</v>
      </c>
      <c r="M126" s="174">
        <f>SUM(I123:I126)</f>
        <v>0</v>
      </c>
      <c r="N126" s="175">
        <f>SUM(J123:J126)</f>
        <v>0</v>
      </c>
      <c r="O126" s="171" t="str">
        <f>+A126</f>
        <v>ROUNDUP XTEND 2</v>
      </c>
      <c r="P126" s="487">
        <v>45567</v>
      </c>
      <c r="Q126" s="488"/>
      <c r="R126" s="488"/>
      <c r="S126" s="488"/>
      <c r="T126" s="489"/>
      <c r="U126" s="488" t="s">
        <v>316</v>
      </c>
      <c r="V126" s="177" t="s">
        <v>317</v>
      </c>
      <c r="W126" s="176"/>
      <c r="X126" s="177" t="s">
        <v>112</v>
      </c>
      <c r="Y126" s="178" t="s">
        <v>223</v>
      </c>
      <c r="Z126" s="181" t="s">
        <v>158</v>
      </c>
      <c r="AA126" s="259">
        <f t="shared" ref="AA126" si="57">IF(M126 &gt;= 1000, 1, 0)</f>
        <v>0</v>
      </c>
      <c r="AB126" s="314" t="str">
        <f>+LEFT(B126,17) &amp; "(" &amp; Y126 &amp; ")"</f>
        <v>ROUNDUP XTEND® 2 (450 L)</v>
      </c>
    </row>
    <row r="127" spans="1:29">
      <c r="A127" s="170" t="s">
        <v>349</v>
      </c>
      <c r="B127" s="170" t="s">
        <v>350</v>
      </c>
      <c r="C127" s="170">
        <v>40</v>
      </c>
      <c r="D127" s="171" t="s">
        <v>108</v>
      </c>
      <c r="E127" s="483">
        <v>594</v>
      </c>
      <c r="F127" s="170">
        <v>1</v>
      </c>
      <c r="G127" s="204">
        <f t="shared" si="47"/>
        <v>0</v>
      </c>
      <c r="H127" s="173">
        <f>+Purchases!G25</f>
        <v>0</v>
      </c>
      <c r="I127" s="174">
        <f t="shared" si="48"/>
        <v>0</v>
      </c>
      <c r="J127" s="175">
        <f t="shared" si="49"/>
        <v>0</v>
      </c>
      <c r="K127" s="170"/>
      <c r="L127" s="173"/>
      <c r="M127" s="174"/>
      <c r="N127" s="175"/>
      <c r="O127" s="171"/>
      <c r="P127" s="487">
        <v>45567</v>
      </c>
      <c r="Q127" s="488"/>
      <c r="R127" s="488"/>
      <c r="S127" s="488"/>
      <c r="T127" s="489"/>
      <c r="U127" s="488" t="s">
        <v>316</v>
      </c>
      <c r="V127" s="177" t="s">
        <v>317</v>
      </c>
      <c r="W127" s="176"/>
      <c r="X127" s="177" t="s">
        <v>130</v>
      </c>
      <c r="Y127" s="178" t="s">
        <v>131</v>
      </c>
      <c r="Z127" s="181" t="s">
        <v>155</v>
      </c>
      <c r="AA127" s="260" t="s">
        <v>119</v>
      </c>
    </row>
    <row r="128" spans="1:29">
      <c r="A128" s="170" t="s">
        <v>349</v>
      </c>
      <c r="B128" s="170" t="s">
        <v>351</v>
      </c>
      <c r="C128" s="170">
        <v>640</v>
      </c>
      <c r="D128" s="171" t="s">
        <v>102</v>
      </c>
      <c r="E128" s="483">
        <v>9504</v>
      </c>
      <c r="F128" s="170">
        <v>16</v>
      </c>
      <c r="G128" s="204">
        <f t="shared" si="47"/>
        <v>0</v>
      </c>
      <c r="H128" s="173">
        <f>+Purchases!G26</f>
        <v>0</v>
      </c>
      <c r="I128" s="174">
        <f t="shared" si="48"/>
        <v>0</v>
      </c>
      <c r="J128" s="175">
        <f t="shared" si="49"/>
        <v>0</v>
      </c>
      <c r="K128" s="170"/>
      <c r="L128" s="173">
        <f>IF( $B$3 = 1,  SUM(G127:G128), SUM(H127:H128) )</f>
        <v>0</v>
      </c>
      <c r="M128" s="174">
        <f>SUM(I127:I128)</f>
        <v>0</v>
      </c>
      <c r="N128" s="175">
        <f>SUM(J127:J128)</f>
        <v>0</v>
      </c>
      <c r="O128" s="171" t="str">
        <f>+A128</f>
        <v>STRATEGO PRO</v>
      </c>
      <c r="P128" s="487">
        <v>45567</v>
      </c>
      <c r="Q128" s="488"/>
      <c r="R128" s="488"/>
      <c r="S128" s="488"/>
      <c r="T128" s="489"/>
      <c r="U128" s="488" t="s">
        <v>316</v>
      </c>
      <c r="V128" s="177" t="s">
        <v>317</v>
      </c>
      <c r="W128" s="176"/>
      <c r="X128" s="177" t="s">
        <v>130</v>
      </c>
      <c r="Y128" s="178" t="s">
        <v>133</v>
      </c>
      <c r="Z128" s="181" t="s">
        <v>161</v>
      </c>
      <c r="AA128" s="259">
        <f t="shared" si="46"/>
        <v>0</v>
      </c>
    </row>
    <row r="129" spans="1:30">
      <c r="A129" s="170" t="s">
        <v>264</v>
      </c>
      <c r="B129" s="170" t="s">
        <v>352</v>
      </c>
      <c r="C129" s="170">
        <v>40</v>
      </c>
      <c r="D129" s="171" t="s">
        <v>108</v>
      </c>
      <c r="E129" s="483">
        <v>860.25</v>
      </c>
      <c r="F129" s="170">
        <v>1</v>
      </c>
      <c r="G129" s="204">
        <f t="shared" si="47"/>
        <v>0</v>
      </c>
      <c r="H129" s="173">
        <f>+Purchases!G27</f>
        <v>0</v>
      </c>
      <c r="I129" s="174">
        <f t="shared" si="48"/>
        <v>0</v>
      </c>
      <c r="J129" s="175">
        <f t="shared" si="49"/>
        <v>0</v>
      </c>
      <c r="K129" s="170"/>
      <c r="L129" s="173">
        <f t="shared" si="50"/>
        <v>0</v>
      </c>
      <c r="M129" s="174">
        <f t="shared" si="51"/>
        <v>0</v>
      </c>
      <c r="N129" s="175">
        <f t="shared" si="52"/>
        <v>0</v>
      </c>
      <c r="O129" s="171" t="str">
        <f t="shared" si="53"/>
        <v>VARRO</v>
      </c>
      <c r="P129" s="487">
        <v>45567</v>
      </c>
      <c r="Q129" s="488"/>
      <c r="R129" s="488"/>
      <c r="S129" s="488"/>
      <c r="T129" s="489"/>
      <c r="U129" s="488" t="s">
        <v>316</v>
      </c>
      <c r="V129" s="177" t="s">
        <v>317</v>
      </c>
      <c r="W129" s="176"/>
      <c r="X129" s="177" t="s">
        <v>112</v>
      </c>
      <c r="Y129" s="178" t="s">
        <v>120</v>
      </c>
      <c r="Z129" s="181" t="s">
        <v>155</v>
      </c>
      <c r="AA129" s="259">
        <f t="shared" si="46"/>
        <v>0</v>
      </c>
    </row>
    <row r="130" spans="1:30">
      <c r="A130" s="170" t="s">
        <v>353</v>
      </c>
      <c r="B130" s="170" t="s">
        <v>354</v>
      </c>
      <c r="C130" s="170">
        <v>40</v>
      </c>
      <c r="D130" s="171" t="s">
        <v>108</v>
      </c>
      <c r="E130" s="495">
        <v>920.25</v>
      </c>
      <c r="F130" s="170">
        <v>1</v>
      </c>
      <c r="G130" s="204">
        <f t="shared" si="47"/>
        <v>0</v>
      </c>
      <c r="H130" s="173">
        <f>+Purchases!G28</f>
        <v>0</v>
      </c>
      <c r="I130" s="174">
        <f t="shared" si="48"/>
        <v>0</v>
      </c>
      <c r="J130" s="175">
        <f t="shared" si="49"/>
        <v>0</v>
      </c>
      <c r="K130" s="170"/>
      <c r="L130" s="173">
        <f t="shared" si="50"/>
        <v>0</v>
      </c>
      <c r="M130" s="174">
        <f t="shared" si="51"/>
        <v>0</v>
      </c>
      <c r="N130" s="175">
        <f t="shared" si="52"/>
        <v>0</v>
      </c>
      <c r="O130" s="171" t="str">
        <f t="shared" si="53"/>
        <v>VIOS G3</v>
      </c>
      <c r="P130" s="502">
        <v>45588</v>
      </c>
      <c r="Q130" s="176"/>
      <c r="R130" s="176"/>
      <c r="S130" s="176"/>
      <c r="T130" s="489"/>
      <c r="U130" s="176" t="s">
        <v>321</v>
      </c>
      <c r="V130" s="177" t="s">
        <v>317</v>
      </c>
      <c r="W130" s="176"/>
      <c r="X130" s="177" t="s">
        <v>112</v>
      </c>
      <c r="Y130" s="178" t="s">
        <v>355</v>
      </c>
      <c r="Z130" s="181" t="s">
        <v>155</v>
      </c>
      <c r="AA130" s="259">
        <f t="shared" si="46"/>
        <v>0</v>
      </c>
    </row>
    <row r="131" spans="1:30">
      <c r="A131" s="170" t="s">
        <v>273</v>
      </c>
      <c r="B131" s="170" t="s">
        <v>356</v>
      </c>
      <c r="C131" s="170">
        <v>15</v>
      </c>
      <c r="D131" s="171" t="s">
        <v>108</v>
      </c>
      <c r="E131" s="547">
        <v>220.5</v>
      </c>
      <c r="F131" s="170">
        <v>1</v>
      </c>
      <c r="G131" s="204">
        <f t="shared" si="47"/>
        <v>0</v>
      </c>
      <c r="H131" s="173">
        <f>+Purchases!G29</f>
        <v>0</v>
      </c>
      <c r="I131" s="174">
        <f t="shared" si="48"/>
        <v>0</v>
      </c>
      <c r="J131" s="175">
        <f t="shared" si="49"/>
        <v>0</v>
      </c>
      <c r="K131" s="170"/>
      <c r="L131" s="173"/>
      <c r="M131" s="174"/>
      <c r="N131" s="175"/>
      <c r="O131" s="171"/>
      <c r="P131" s="252">
        <v>45223</v>
      </c>
      <c r="Q131" s="176"/>
      <c r="R131" s="176"/>
      <c r="S131" s="176"/>
      <c r="T131" s="489"/>
      <c r="U131" s="176" t="s">
        <v>321</v>
      </c>
      <c r="V131" s="177" t="s">
        <v>317</v>
      </c>
      <c r="W131" s="176"/>
      <c r="X131" s="177" t="s">
        <v>112</v>
      </c>
      <c r="Y131" s="178" t="s">
        <v>116</v>
      </c>
      <c r="Z131" s="181" t="s">
        <v>155</v>
      </c>
      <c r="AA131" s="260" t="s">
        <v>119</v>
      </c>
      <c r="AB131" s="314" t="str">
        <f>+LEFT(B131,11) &amp; "(" &amp; Y131 &amp; ")"</f>
        <v>XTENDIMAX® (10 L)</v>
      </c>
    </row>
    <row r="132" spans="1:30">
      <c r="A132" s="170" t="s">
        <v>273</v>
      </c>
      <c r="B132" s="170" t="s">
        <v>357</v>
      </c>
      <c r="C132" s="170">
        <v>675</v>
      </c>
      <c r="D132" s="171" t="s">
        <v>102</v>
      </c>
      <c r="E132" s="547">
        <v>9922.5</v>
      </c>
      <c r="F132" s="170">
        <v>45</v>
      </c>
      <c r="G132" s="204">
        <f t="shared" si="47"/>
        <v>0</v>
      </c>
      <c r="H132" s="173">
        <f>+Purchases!G30</f>
        <v>0</v>
      </c>
      <c r="I132" s="174">
        <f t="shared" si="48"/>
        <v>0</v>
      </c>
      <c r="J132" s="175">
        <f t="shared" si="49"/>
        <v>0</v>
      </c>
      <c r="K132" s="170"/>
      <c r="L132" s="173"/>
      <c r="M132" s="174"/>
      <c r="N132" s="175"/>
      <c r="O132" s="171" t="str">
        <f>+A132</f>
        <v>XTENDIMAX</v>
      </c>
      <c r="P132" s="252">
        <v>45223</v>
      </c>
      <c r="Q132" s="176"/>
      <c r="R132" s="176"/>
      <c r="S132" s="176"/>
      <c r="T132" s="489"/>
      <c r="U132" s="176" t="s">
        <v>321</v>
      </c>
      <c r="V132" s="177" t="s">
        <v>317</v>
      </c>
      <c r="W132" s="176"/>
      <c r="X132" s="177" t="s">
        <v>112</v>
      </c>
      <c r="Y132" s="178" t="s">
        <v>223</v>
      </c>
      <c r="Z132" s="181" t="s">
        <v>158</v>
      </c>
      <c r="AA132" s="260" t="s">
        <v>119</v>
      </c>
      <c r="AB132" s="314" t="str">
        <f>+LEFT(B132,11) &amp; "(" &amp; Y132 &amp; ")"</f>
        <v>XTENDIMAX® (450 L)</v>
      </c>
    </row>
    <row r="133" spans="1:30">
      <c r="A133" s="170" t="s">
        <v>358</v>
      </c>
      <c r="B133" s="170" t="s">
        <v>359</v>
      </c>
      <c r="C133" s="170">
        <v>20</v>
      </c>
      <c r="D133" s="171" t="s">
        <v>108</v>
      </c>
      <c r="E133" s="483">
        <v>319.75</v>
      </c>
      <c r="F133" s="170">
        <v>1</v>
      </c>
      <c r="G133" s="204">
        <f t="shared" ref="G133:G134" si="58">IF(B$3 =1, H133*C133, H133/C133)</f>
        <v>0</v>
      </c>
      <c r="H133" s="173">
        <f>+Purchases!G31</f>
        <v>0</v>
      </c>
      <c r="I133" s="174">
        <f t="shared" ref="I133:I134" si="59">IF(B$3 = 1, H133*E133, (H133/C133) *E133)</f>
        <v>0</v>
      </c>
      <c r="J133" s="175">
        <f t="shared" ref="J133:J134" si="60">IF($B$3 =1, H133*F133, (H133/C133) *F133)</f>
        <v>0</v>
      </c>
      <c r="K133" s="170"/>
      <c r="L133" s="173"/>
      <c r="M133" s="174"/>
      <c r="N133" s="175"/>
      <c r="O133" s="171"/>
      <c r="P133" s="487">
        <v>45567</v>
      </c>
      <c r="Q133" s="488"/>
      <c r="R133" s="488"/>
      <c r="S133" s="488"/>
      <c r="T133" s="489"/>
      <c r="U133" s="488" t="s">
        <v>316</v>
      </c>
      <c r="V133" s="177" t="s">
        <v>317</v>
      </c>
      <c r="W133" s="176"/>
      <c r="X133" s="177" t="s">
        <v>112</v>
      </c>
      <c r="Y133" s="178" t="s">
        <v>116</v>
      </c>
      <c r="Z133" s="181" t="s">
        <v>155</v>
      </c>
      <c r="AA133" s="260" t="s">
        <v>119</v>
      </c>
      <c r="AB133" s="314" t="str">
        <f>+LEFT(B133,13) &amp; "(" &amp; Y133 &amp; ")"</f>
        <v>XTENDIMAX® 2 (10 L)</v>
      </c>
    </row>
    <row r="134" spans="1:30">
      <c r="A134" s="170" t="s">
        <v>358</v>
      </c>
      <c r="B134" s="170" t="s">
        <v>360</v>
      </c>
      <c r="C134" s="170">
        <v>900</v>
      </c>
      <c r="D134" s="171" t="s">
        <v>102</v>
      </c>
      <c r="E134" s="172">
        <v>14388.75</v>
      </c>
      <c r="F134" s="170">
        <v>45</v>
      </c>
      <c r="G134" s="204">
        <f t="shared" si="58"/>
        <v>0</v>
      </c>
      <c r="H134" s="173">
        <f>+Purchases!G33</f>
        <v>0</v>
      </c>
      <c r="I134" s="174">
        <f t="shared" si="59"/>
        <v>0</v>
      </c>
      <c r="J134" s="175">
        <f t="shared" si="60"/>
        <v>0</v>
      </c>
      <c r="K134" s="170"/>
      <c r="L134" s="173">
        <f>IF( $B$3 = 1,  SUM(G131:G134) + L145, SUM(H131:H134) + H145 )</f>
        <v>0</v>
      </c>
      <c r="M134" s="174">
        <f>SUM(I131:I134)+M145</f>
        <v>0</v>
      </c>
      <c r="N134" s="175">
        <f>SUM(J131:J134) +N145</f>
        <v>0</v>
      </c>
      <c r="O134" s="171" t="str">
        <f>+A134</f>
        <v>XTENDIMAX 2</v>
      </c>
      <c r="P134" s="252">
        <v>45588</v>
      </c>
      <c r="Q134" s="176"/>
      <c r="R134" s="176"/>
      <c r="S134" s="176"/>
      <c r="T134" s="489"/>
      <c r="U134" s="176" t="s">
        <v>321</v>
      </c>
      <c r="V134" s="177" t="s">
        <v>317</v>
      </c>
      <c r="W134" s="176"/>
      <c r="X134" s="177" t="s">
        <v>112</v>
      </c>
      <c r="Y134" s="178" t="s">
        <v>223</v>
      </c>
      <c r="Z134" s="181" t="s">
        <v>158</v>
      </c>
      <c r="AA134" s="259">
        <f t="shared" ref="AA134" si="61">IF(M134 &gt;= 1000, 1, 0)</f>
        <v>0</v>
      </c>
      <c r="AB134" s="314" t="str">
        <f>+LEFT(B134,13) &amp; "(" &amp; Y134 &amp; ")"</f>
        <v>XTENDIMAX® 2 (450 L)</v>
      </c>
    </row>
    <row r="135" spans="1:30">
      <c r="A135" s="170" t="s">
        <v>285</v>
      </c>
      <c r="B135" s="170" t="s">
        <v>361</v>
      </c>
      <c r="C135" s="170">
        <v>2.5</v>
      </c>
      <c r="D135" s="171" t="s">
        <v>108</v>
      </c>
      <c r="E135" s="483">
        <v>0</v>
      </c>
      <c r="F135" s="170">
        <v>1</v>
      </c>
      <c r="G135" s="204">
        <f>IF(B$3 =1, H135*C135, H135/C135)</f>
        <v>0</v>
      </c>
      <c r="H135" s="173">
        <f>+Purchases!C38</f>
        <v>0</v>
      </c>
      <c r="I135" s="174">
        <f t="shared" si="48"/>
        <v>0</v>
      </c>
      <c r="J135" s="175">
        <f t="shared" si="49"/>
        <v>0</v>
      </c>
      <c r="K135" s="170"/>
      <c r="L135" s="173">
        <f t="shared" si="50"/>
        <v>0</v>
      </c>
      <c r="M135" s="174">
        <f t="shared" si="51"/>
        <v>0</v>
      </c>
      <c r="N135" s="175">
        <f t="shared" si="52"/>
        <v>0</v>
      </c>
      <c r="O135" s="171" t="str">
        <f t="shared" si="53"/>
        <v>Corn Trait</v>
      </c>
      <c r="P135" s="487">
        <v>45567</v>
      </c>
      <c r="Q135" s="488"/>
      <c r="R135" s="488"/>
      <c r="S135" s="488"/>
      <c r="T135" s="489"/>
      <c r="U135" s="488" t="s">
        <v>316</v>
      </c>
      <c r="V135" s="177" t="s">
        <v>317</v>
      </c>
      <c r="W135" s="176"/>
      <c r="X135" s="177" t="s">
        <v>283</v>
      </c>
      <c r="Y135" s="178" t="s">
        <v>287</v>
      </c>
      <c r="Z135" s="181" t="s">
        <v>362</v>
      </c>
      <c r="AA135" s="260" t="s">
        <v>119</v>
      </c>
    </row>
    <row r="136" spans="1:30">
      <c r="A136" s="170" t="s">
        <v>288</v>
      </c>
      <c r="B136" s="170" t="s">
        <v>363</v>
      </c>
      <c r="C136" s="170">
        <v>0.74</v>
      </c>
      <c r="D136" s="171" t="s">
        <v>108</v>
      </c>
      <c r="E136" s="483">
        <v>0</v>
      </c>
      <c r="F136" s="170">
        <v>1</v>
      </c>
      <c r="G136" s="204">
        <f t="shared" si="47"/>
        <v>0</v>
      </c>
      <c r="H136" s="173">
        <f>+Purchases!C39</f>
        <v>0</v>
      </c>
      <c r="I136" s="174">
        <f t="shared" si="48"/>
        <v>0</v>
      </c>
      <c r="J136" s="175">
        <f t="shared" si="49"/>
        <v>0</v>
      </c>
      <c r="K136" s="170"/>
      <c r="L136" s="173">
        <f t="shared" si="50"/>
        <v>0</v>
      </c>
      <c r="M136" s="174">
        <f t="shared" si="51"/>
        <v>0</v>
      </c>
      <c r="N136" s="175">
        <f t="shared" si="52"/>
        <v>0</v>
      </c>
      <c r="O136" s="171" t="str">
        <f t="shared" si="53"/>
        <v>Soybean Trait</v>
      </c>
      <c r="P136" s="487">
        <v>45567</v>
      </c>
      <c r="Q136" s="488"/>
      <c r="R136" s="488"/>
      <c r="S136" s="488"/>
      <c r="T136" s="489"/>
      <c r="U136" s="488" t="s">
        <v>316</v>
      </c>
      <c r="V136" s="177" t="s">
        <v>317</v>
      </c>
      <c r="W136" s="176"/>
      <c r="X136" s="176" t="s">
        <v>283</v>
      </c>
      <c r="Y136" s="178" t="s">
        <v>290</v>
      </c>
      <c r="Z136" s="181" t="s">
        <v>362</v>
      </c>
      <c r="AA136" s="260" t="s">
        <v>119</v>
      </c>
    </row>
    <row r="137" spans="1:30">
      <c r="A137" s="170" t="s">
        <v>364</v>
      </c>
      <c r="B137" s="170" t="s">
        <v>365</v>
      </c>
      <c r="C137" s="170">
        <v>40</v>
      </c>
      <c r="D137" s="171" t="s">
        <v>108</v>
      </c>
      <c r="E137" s="483">
        <v>745.75</v>
      </c>
      <c r="F137" s="170">
        <v>1</v>
      </c>
      <c r="G137" s="204">
        <f t="shared" ref="G137:G142" si="62">IF(B$3 =1, H137*C137, H137/C137)</f>
        <v>0</v>
      </c>
      <c r="H137" s="173">
        <f>+Purchases!C24</f>
        <v>0</v>
      </c>
      <c r="I137" s="174">
        <f t="shared" ref="I137:I142" si="63">IF(B$3 = 1, H137*E137, (H137/C137) *E137)</f>
        <v>0</v>
      </c>
      <c r="J137" s="175">
        <f t="shared" ref="J137:J142" si="64">IF($B$3 =1, H137*F137, (H137/C137) *F137)</f>
        <v>0</v>
      </c>
      <c r="K137" s="170"/>
      <c r="L137" s="173">
        <f t="shared" ref="L137" si="65">IF( $B$3 = 1,  G137,H137 )</f>
        <v>0</v>
      </c>
      <c r="M137" s="174">
        <f t="shared" ref="M137" si="66">+I137</f>
        <v>0</v>
      </c>
      <c r="N137" s="175">
        <f t="shared" ref="N137" si="67">+J137</f>
        <v>0</v>
      </c>
      <c r="O137" s="171" t="str">
        <f t="shared" ref="O137" si="68">+A137</f>
        <v>LAUDIS</v>
      </c>
      <c r="P137" s="487">
        <v>45567</v>
      </c>
      <c r="Q137" s="488"/>
      <c r="R137" s="488"/>
      <c r="S137" s="488"/>
      <c r="T137" s="489"/>
      <c r="U137" s="488" t="s">
        <v>316</v>
      </c>
      <c r="V137" s="177" t="s">
        <v>317</v>
      </c>
      <c r="W137" s="176"/>
      <c r="X137" s="177" t="s">
        <v>112</v>
      </c>
      <c r="Y137" s="178" t="s">
        <v>366</v>
      </c>
      <c r="Z137" s="181" t="s">
        <v>155</v>
      </c>
      <c r="AA137" s="259">
        <f t="shared" si="46"/>
        <v>0</v>
      </c>
    </row>
    <row r="138" spans="1:30">
      <c r="A138" s="170" t="s">
        <v>367</v>
      </c>
      <c r="B138" s="170" t="s">
        <v>368</v>
      </c>
      <c r="C138" s="170">
        <v>20</v>
      </c>
      <c r="D138" s="171" t="s">
        <v>108</v>
      </c>
      <c r="E138" s="483">
        <v>524.75</v>
      </c>
      <c r="F138" s="170">
        <v>1</v>
      </c>
      <c r="G138" s="93">
        <f t="shared" si="62"/>
        <v>0</v>
      </c>
      <c r="H138" s="68">
        <f>+Purchases!C28</f>
        <v>0</v>
      </c>
      <c r="I138" s="96">
        <f t="shared" si="63"/>
        <v>0</v>
      </c>
      <c r="J138" s="76">
        <f t="shared" si="64"/>
        <v>0</v>
      </c>
      <c r="K138" s="80"/>
      <c r="L138" s="70"/>
      <c r="M138" s="97"/>
      <c r="N138" s="69"/>
      <c r="O138" s="89"/>
      <c r="P138" s="487">
        <v>45567</v>
      </c>
      <c r="Q138" s="488"/>
      <c r="R138" s="488"/>
      <c r="S138" s="488"/>
      <c r="T138" s="489"/>
      <c r="U138" s="488" t="s">
        <v>316</v>
      </c>
      <c r="V138" s="177" t="s">
        <v>317</v>
      </c>
      <c r="W138" s="176"/>
      <c r="X138" s="177" t="s">
        <v>130</v>
      </c>
      <c r="Y138" s="178" t="s">
        <v>189</v>
      </c>
      <c r="Z138" s="181" t="s">
        <v>155</v>
      </c>
      <c r="AA138" s="260" t="s">
        <v>119</v>
      </c>
    </row>
    <row r="139" spans="1:30">
      <c r="A139" s="170" t="s">
        <v>367</v>
      </c>
      <c r="B139" s="170" t="s">
        <v>369</v>
      </c>
      <c r="C139" s="170">
        <v>320</v>
      </c>
      <c r="D139" s="171" t="s">
        <v>102</v>
      </c>
      <c r="E139" s="483">
        <v>8396</v>
      </c>
      <c r="F139" s="170">
        <v>16</v>
      </c>
      <c r="G139" s="93">
        <f t="shared" si="62"/>
        <v>0</v>
      </c>
      <c r="H139" s="68">
        <f>+Purchases!C29</f>
        <v>0</v>
      </c>
      <c r="I139" s="96">
        <f t="shared" si="63"/>
        <v>0</v>
      </c>
      <c r="J139" s="76">
        <f t="shared" si="64"/>
        <v>0</v>
      </c>
      <c r="K139" s="80"/>
      <c r="L139" s="70">
        <f>IF( $B$3 = 1,  SUM(G138:G139), SUM(H138:H139) )</f>
        <v>0</v>
      </c>
      <c r="M139" s="97">
        <f>+I138+I139</f>
        <v>0</v>
      </c>
      <c r="N139" s="69">
        <f>+J138+J139</f>
        <v>0</v>
      </c>
      <c r="O139" s="89" t="str">
        <f t="shared" ref="O139:O144" si="69">+A139</f>
        <v>PROSARO PRO</v>
      </c>
      <c r="P139" s="487">
        <v>45567</v>
      </c>
      <c r="Q139" s="488"/>
      <c r="R139" s="488"/>
      <c r="S139" s="488"/>
      <c r="T139" s="489"/>
      <c r="U139" s="488" t="s">
        <v>316</v>
      </c>
      <c r="V139" s="177" t="s">
        <v>317</v>
      </c>
      <c r="W139" s="176"/>
      <c r="X139" s="177" t="s">
        <v>130</v>
      </c>
      <c r="Y139" s="178" t="s">
        <v>370</v>
      </c>
      <c r="Z139" s="181" t="s">
        <v>158</v>
      </c>
      <c r="AA139" s="259">
        <f t="shared" si="46"/>
        <v>0</v>
      </c>
    </row>
    <row r="140" spans="1:30">
      <c r="A140" s="170" t="s">
        <v>371</v>
      </c>
      <c r="B140" s="170" t="s">
        <v>372</v>
      </c>
      <c r="C140" s="170">
        <v>15</v>
      </c>
      <c r="D140" s="171" t="s">
        <v>108</v>
      </c>
      <c r="E140" s="483">
        <v>306.75</v>
      </c>
      <c r="F140" s="170">
        <v>1</v>
      </c>
      <c r="G140" s="93">
        <f t="shared" si="62"/>
        <v>0</v>
      </c>
      <c r="H140" s="68">
        <f>+Purchases!G23</f>
        <v>0</v>
      </c>
      <c r="I140" s="96">
        <f t="shared" si="63"/>
        <v>0</v>
      </c>
      <c r="J140" s="76">
        <f t="shared" si="64"/>
        <v>0</v>
      </c>
      <c r="K140" s="80"/>
      <c r="L140" s="70"/>
      <c r="M140" s="97"/>
      <c r="N140" s="315"/>
      <c r="O140" s="89" t="str">
        <f t="shared" si="69"/>
        <v xml:space="preserve">SENCOR 480 </v>
      </c>
      <c r="P140" s="487">
        <v>45567</v>
      </c>
      <c r="Q140" s="488"/>
      <c r="R140" s="488"/>
      <c r="S140" s="488"/>
      <c r="T140" s="489"/>
      <c r="U140" s="488" t="s">
        <v>316</v>
      </c>
      <c r="V140" s="177" t="s">
        <v>317</v>
      </c>
      <c r="W140" s="176"/>
      <c r="X140" s="177" t="s">
        <v>112</v>
      </c>
      <c r="Y140" s="178" t="s">
        <v>237</v>
      </c>
      <c r="Z140" s="181" t="s">
        <v>155</v>
      </c>
      <c r="AA140" s="260" t="s">
        <v>119</v>
      </c>
    </row>
    <row r="141" spans="1:30" ht="14.25" customHeight="1">
      <c r="A141" s="170" t="s">
        <v>371</v>
      </c>
      <c r="B141" s="170" t="s">
        <v>373</v>
      </c>
      <c r="C141" s="170">
        <v>3000</v>
      </c>
      <c r="D141" s="171" t="s">
        <v>102</v>
      </c>
      <c r="E141" s="492">
        <v>0</v>
      </c>
      <c r="F141" s="170">
        <v>200</v>
      </c>
      <c r="G141" s="93">
        <f t="shared" si="62"/>
        <v>0</v>
      </c>
      <c r="H141" s="68">
        <v>0</v>
      </c>
      <c r="I141" s="96">
        <f t="shared" si="63"/>
        <v>0</v>
      </c>
      <c r="J141" s="76">
        <f t="shared" si="64"/>
        <v>0</v>
      </c>
      <c r="K141" s="80"/>
      <c r="L141" s="70"/>
      <c r="M141" s="97"/>
      <c r="N141" s="315"/>
      <c r="O141" s="89" t="str">
        <f t="shared" si="69"/>
        <v xml:space="preserve">SENCOR 480 </v>
      </c>
      <c r="P141" s="252">
        <v>45588</v>
      </c>
      <c r="Q141" s="176"/>
      <c r="R141" s="176"/>
      <c r="S141" s="176"/>
      <c r="T141" s="490"/>
      <c r="U141" s="44" t="s">
        <v>374</v>
      </c>
      <c r="V141" s="177" t="s">
        <v>317</v>
      </c>
      <c r="W141" s="176"/>
      <c r="X141" s="177" t="s">
        <v>112</v>
      </c>
      <c r="Y141" s="178">
        <v>1000</v>
      </c>
      <c r="Z141" s="181" t="s">
        <v>375</v>
      </c>
      <c r="AA141" s="259"/>
    </row>
    <row r="142" spans="1:30">
      <c r="A142" s="170" t="s">
        <v>238</v>
      </c>
      <c r="B142" s="170" t="s">
        <v>376</v>
      </c>
      <c r="C142" s="170">
        <v>10</v>
      </c>
      <c r="D142" s="171" t="s">
        <v>108</v>
      </c>
      <c r="E142" s="483">
        <v>189.75</v>
      </c>
      <c r="F142" s="170">
        <v>1</v>
      </c>
      <c r="G142" s="93">
        <f t="shared" si="62"/>
        <v>0</v>
      </c>
      <c r="H142" s="68">
        <f>+Purchases!G24</f>
        <v>0</v>
      </c>
      <c r="I142" s="96">
        <f t="shared" si="63"/>
        <v>0</v>
      </c>
      <c r="J142" s="76">
        <f t="shared" si="64"/>
        <v>0</v>
      </c>
      <c r="K142" s="80"/>
      <c r="L142" s="70">
        <f>IF( $B$3 = 1,  SUM(G140:G142), SUM(H140:H142) )</f>
        <v>0</v>
      </c>
      <c r="M142" s="97">
        <f>SUM(I140:I142)</f>
        <v>0</v>
      </c>
      <c r="N142" s="315">
        <f>SUM(J140:J142)</f>
        <v>0</v>
      </c>
      <c r="O142" s="89" t="str">
        <f t="shared" si="69"/>
        <v>SENCOR 75 DF</v>
      </c>
      <c r="P142" s="487">
        <v>45567</v>
      </c>
      <c r="Q142" s="488"/>
      <c r="R142" s="488"/>
      <c r="S142" s="488"/>
      <c r="T142" s="489"/>
      <c r="U142" s="488" t="s">
        <v>316</v>
      </c>
      <c r="V142" s="177" t="s">
        <v>317</v>
      </c>
      <c r="W142" s="176"/>
      <c r="X142" s="177" t="s">
        <v>112</v>
      </c>
      <c r="Y142" s="178" t="s">
        <v>237</v>
      </c>
      <c r="Z142" s="181" t="s">
        <v>155</v>
      </c>
      <c r="AA142" s="259">
        <f t="shared" si="46"/>
        <v>0</v>
      </c>
      <c r="AB142" s="36"/>
      <c r="AC142" s="36"/>
      <c r="AD142" s="36"/>
    </row>
    <row r="143" spans="1:30">
      <c r="A143" s="208" t="s">
        <v>377</v>
      </c>
      <c r="B143" s="208" t="s">
        <v>378</v>
      </c>
      <c r="C143" s="208">
        <v>30</v>
      </c>
      <c r="D143" s="209" t="s">
        <v>108</v>
      </c>
      <c r="E143" s="484">
        <v>839</v>
      </c>
      <c r="F143" s="208">
        <v>1</v>
      </c>
      <c r="G143" s="203">
        <f t="shared" ref="G143" si="70">IF(B$3 =1, H143*C143, H143/C143)</f>
        <v>0</v>
      </c>
      <c r="H143" s="160">
        <f>+Purchases!C17</f>
        <v>0</v>
      </c>
      <c r="I143" s="201">
        <f t="shared" ref="I143" si="71">IF(B$3 = 1, H143*E143, (H143/C143) *E143)</f>
        <v>0</v>
      </c>
      <c r="J143" s="202">
        <f t="shared" ref="J143" si="72">IF($B$3 =1, H143*F143, (H143/C143) *F143)</f>
        <v>0</v>
      </c>
      <c r="K143" s="159"/>
      <c r="L143" s="122">
        <f>IF( $B$3 = 1,  G143,H143 )</f>
        <v>0</v>
      </c>
      <c r="M143" s="161">
        <f t="shared" ref="M143" si="73">+I143</f>
        <v>0</v>
      </c>
      <c r="N143" s="316">
        <f t="shared" ref="N143" si="74">+J143</f>
        <v>0</v>
      </c>
      <c r="O143" s="210" t="str">
        <f t="shared" si="69"/>
        <v>CORVUS</v>
      </c>
      <c r="P143" s="487">
        <v>45567</v>
      </c>
      <c r="Q143" s="488"/>
      <c r="R143" s="488"/>
      <c r="S143" s="488"/>
      <c r="T143" s="489"/>
      <c r="U143" s="488" t="s">
        <v>316</v>
      </c>
      <c r="V143" s="212" t="s">
        <v>317</v>
      </c>
      <c r="W143" s="211"/>
      <c r="X143" s="212" t="s">
        <v>112</v>
      </c>
      <c r="Y143" s="213" t="s">
        <v>379</v>
      </c>
      <c r="Z143" s="206" t="s">
        <v>155</v>
      </c>
      <c r="AA143" s="305">
        <f t="shared" ref="AA143:AA144" si="75">IF(M143 &gt;= 1000, 1, 0)</f>
        <v>0</v>
      </c>
      <c r="AB143" s="36"/>
      <c r="AC143" s="36"/>
    </row>
    <row r="144" spans="1:30">
      <c r="A144" s="306" t="s">
        <v>128</v>
      </c>
      <c r="B144" s="306" t="s">
        <v>380</v>
      </c>
      <c r="C144" s="306">
        <v>480</v>
      </c>
      <c r="D144" s="306" t="s">
        <v>102</v>
      </c>
      <c r="E144" s="485">
        <v>11008</v>
      </c>
      <c r="F144" s="306">
        <v>16</v>
      </c>
      <c r="G144" s="307">
        <f t="shared" ref="G144" si="76">IF(B$3 =1, H144*C144, H144/C144)</f>
        <v>0</v>
      </c>
      <c r="H144" s="308">
        <f>+Purchases!C19</f>
        <v>0</v>
      </c>
      <c r="I144" s="309">
        <f>IF(B$3 = 1, H144*E144, (H144/C144) *E144)</f>
        <v>0</v>
      </c>
      <c r="J144" s="310">
        <f t="shared" ref="J144" si="77">IF($B$3 =1, H144*F144, (H144/C144) *F144)</f>
        <v>0</v>
      </c>
      <c r="K144" s="306"/>
      <c r="L144" s="308">
        <f>IF($B$3=1,G112+G144,H112+H144)</f>
        <v>0</v>
      </c>
      <c r="M144" s="309">
        <f>+I112+I144</f>
        <v>0</v>
      </c>
      <c r="N144" s="310">
        <f>+J112+J144</f>
        <v>0</v>
      </c>
      <c r="O144" s="311" t="str">
        <f t="shared" si="69"/>
        <v>DELARO</v>
      </c>
      <c r="P144" s="487">
        <v>45567</v>
      </c>
      <c r="Q144" s="488"/>
      <c r="R144" s="488"/>
      <c r="S144" s="488"/>
      <c r="T144" s="489"/>
      <c r="U144" s="488" t="s">
        <v>316</v>
      </c>
      <c r="V144" s="312" t="s">
        <v>317</v>
      </c>
      <c r="W144" s="259"/>
      <c r="X144" s="312" t="s">
        <v>130</v>
      </c>
      <c r="Y144" s="313" t="s">
        <v>381</v>
      </c>
      <c r="Z144" s="259" t="s">
        <v>158</v>
      </c>
      <c r="AA144" s="259">
        <f t="shared" si="75"/>
        <v>0</v>
      </c>
      <c r="AB144" s="379" t="s">
        <v>382</v>
      </c>
      <c r="AC144" s="380">
        <f>SUM(AA109:AA145)</f>
        <v>0</v>
      </c>
    </row>
    <row r="145" spans="1:28">
      <c r="A145" s="322" t="s">
        <v>273</v>
      </c>
      <c r="B145" s="322" t="s">
        <v>383</v>
      </c>
      <c r="C145" s="323">
        <v>245</v>
      </c>
      <c r="D145" s="322" t="s">
        <v>102</v>
      </c>
      <c r="E145" s="486">
        <v>3915</v>
      </c>
      <c r="F145" s="305">
        <v>12.238</v>
      </c>
      <c r="G145" s="324">
        <f t="shared" ref="G145" si="78">IF(B$3 =1, H145*C145, H145/C145)</f>
        <v>0</v>
      </c>
      <c r="H145" s="325">
        <f>+Purchases!G32</f>
        <v>0</v>
      </c>
      <c r="I145" s="326">
        <f>IF(B$3 = 1, H145*E145, (H145/C145) *E145)</f>
        <v>0</v>
      </c>
      <c r="J145" s="327">
        <f t="shared" ref="J145" si="79">IF($B$3 =1, H145*F145, (H145/C145) *F145)</f>
        <v>0</v>
      </c>
      <c r="K145" s="322"/>
      <c r="L145" s="325">
        <f>IF($B$3=1,G145,H145)</f>
        <v>0</v>
      </c>
      <c r="M145" s="326">
        <f>+I145</f>
        <v>0</v>
      </c>
      <c r="N145" s="327">
        <f>+J145</f>
        <v>0</v>
      </c>
      <c r="O145" s="328" t="str">
        <f t="shared" ref="O145" si="80">+A145</f>
        <v>XTENDIMAX</v>
      </c>
      <c r="P145" s="487">
        <v>45567</v>
      </c>
      <c r="Q145" s="488"/>
      <c r="R145" s="488"/>
      <c r="S145" s="488"/>
      <c r="T145" s="489"/>
      <c r="U145" s="488" t="s">
        <v>316</v>
      </c>
      <c r="V145" s="329" t="s">
        <v>317</v>
      </c>
      <c r="W145" s="305"/>
      <c r="X145" s="329" t="s">
        <v>112</v>
      </c>
      <c r="Y145" s="330" t="s">
        <v>384</v>
      </c>
      <c r="Z145" s="305" t="s">
        <v>158</v>
      </c>
      <c r="AA145" s="331"/>
      <c r="AB145" s="314" t="str">
        <f>+LEFT(B145,13) &amp; "(" &amp; Y145 &amp; ")"</f>
        <v>XTENDIMAX® 2 (122.38 L)</v>
      </c>
    </row>
    <row r="146" spans="1:28">
      <c r="A146" s="332" t="s">
        <v>385</v>
      </c>
      <c r="B146" s="332" t="s">
        <v>386</v>
      </c>
      <c r="C146" s="333">
        <v>15</v>
      </c>
      <c r="D146" s="332" t="s">
        <v>108</v>
      </c>
      <c r="E146" s="496">
        <v>70.5</v>
      </c>
      <c r="F146" s="334">
        <v>1</v>
      </c>
      <c r="G146" s="335">
        <f>IF(B$3 =1, H146*C146, H146/C146)</f>
        <v>0</v>
      </c>
      <c r="H146" s="325">
        <f>+Purchases!C33</f>
        <v>0</v>
      </c>
      <c r="I146" s="326">
        <f t="shared" ref="I146:I153" si="81">IF(B$3 = 1, H146*E146, (H146/C146) *E146)</f>
        <v>0</v>
      </c>
      <c r="J146" s="338">
        <f>IF($B$3 =1, H146*F146, (H146/C146) *F146)</f>
        <v>0</v>
      </c>
      <c r="K146" s="332"/>
      <c r="L146" s="336"/>
      <c r="M146" s="337"/>
      <c r="N146" s="338"/>
      <c r="O146" s="339" t="str">
        <f>+A146</f>
        <v>ROUNDUP TRANSORB</v>
      </c>
      <c r="P146" s="502">
        <v>45588</v>
      </c>
      <c r="Q146" s="334"/>
      <c r="R146" s="334"/>
      <c r="S146" s="334"/>
      <c r="T146" s="491"/>
      <c r="U146" s="334" t="s">
        <v>321</v>
      </c>
      <c r="V146" s="341" t="s">
        <v>317</v>
      </c>
      <c r="W146" s="334"/>
      <c r="X146" s="341" t="s">
        <v>112</v>
      </c>
      <c r="Y146" s="342" t="s">
        <v>116</v>
      </c>
      <c r="Z146" s="334" t="s">
        <v>155</v>
      </c>
      <c r="AA146" s="305"/>
    </row>
    <row r="147" spans="1:28">
      <c r="A147" s="332" t="s">
        <v>385</v>
      </c>
      <c r="B147" s="332" t="s">
        <v>387</v>
      </c>
      <c r="C147" s="333">
        <v>172</v>
      </c>
      <c r="D147" s="332" t="s">
        <v>102</v>
      </c>
      <c r="E147" s="496">
        <v>810.75</v>
      </c>
      <c r="F147" s="334">
        <v>11.5</v>
      </c>
      <c r="G147" s="335">
        <f t="shared" ref="G147:G149" si="82">IF(B$3 =1, H147*C147, H147/C147)</f>
        <v>0</v>
      </c>
      <c r="H147" s="325">
        <f>+Purchases!C34</f>
        <v>0</v>
      </c>
      <c r="I147" s="326">
        <f t="shared" si="81"/>
        <v>0</v>
      </c>
      <c r="J147" s="338">
        <f t="shared" ref="J147:J149" si="83">IF($B$3 =1, H147*F147, (H147/C147) *F147)</f>
        <v>0</v>
      </c>
      <c r="K147" s="332"/>
      <c r="L147" s="336"/>
      <c r="M147" s="337"/>
      <c r="N147" s="338"/>
      <c r="O147" s="339" t="str">
        <f t="shared" ref="O147:O149" si="84">+A147</f>
        <v>ROUNDUP TRANSORB</v>
      </c>
      <c r="P147" s="502">
        <v>45588</v>
      </c>
      <c r="Q147" s="334"/>
      <c r="R147" s="334"/>
      <c r="S147" s="334"/>
      <c r="T147" s="491"/>
      <c r="U147" s="334" t="s">
        <v>321</v>
      </c>
      <c r="V147" s="341" t="s">
        <v>317</v>
      </c>
      <c r="W147" s="334"/>
      <c r="X147" s="341" t="s">
        <v>112</v>
      </c>
      <c r="Y147" s="342" t="s">
        <v>221</v>
      </c>
      <c r="Z147" s="334" t="s">
        <v>388</v>
      </c>
      <c r="AA147" s="305"/>
    </row>
    <row r="148" spans="1:28">
      <c r="A148" s="332" t="s">
        <v>385</v>
      </c>
      <c r="B148" s="332" t="s">
        <v>389</v>
      </c>
      <c r="C148" s="333">
        <v>675</v>
      </c>
      <c r="D148" s="332" t="s">
        <v>102</v>
      </c>
      <c r="E148" s="496">
        <v>3172.5</v>
      </c>
      <c r="F148" s="334">
        <v>45</v>
      </c>
      <c r="G148" s="335">
        <f t="shared" si="82"/>
        <v>0</v>
      </c>
      <c r="H148" s="325">
        <f>+Purchases!G13</f>
        <v>0</v>
      </c>
      <c r="I148" s="326">
        <f t="shared" si="81"/>
        <v>0</v>
      </c>
      <c r="J148" s="338">
        <f t="shared" si="83"/>
        <v>0</v>
      </c>
      <c r="K148" s="332"/>
      <c r="L148" s="336"/>
      <c r="M148" s="337"/>
      <c r="N148" s="338"/>
      <c r="O148" s="339" t="str">
        <f t="shared" si="84"/>
        <v>ROUNDUP TRANSORB</v>
      </c>
      <c r="P148" s="502">
        <v>45588</v>
      </c>
      <c r="Q148" s="334"/>
      <c r="R148" s="334"/>
      <c r="S148" s="334"/>
      <c r="T148" s="491"/>
      <c r="U148" s="334" t="s">
        <v>321</v>
      </c>
      <c r="V148" s="341" t="s">
        <v>317</v>
      </c>
      <c r="W148" s="334"/>
      <c r="X148" s="341" t="s">
        <v>112</v>
      </c>
      <c r="Y148" s="342" t="s">
        <v>223</v>
      </c>
      <c r="Z148" s="334" t="s">
        <v>388</v>
      </c>
      <c r="AA148" s="305"/>
    </row>
    <row r="149" spans="1:28">
      <c r="A149" s="332" t="s">
        <v>385</v>
      </c>
      <c r="B149" s="332" t="s">
        <v>390</v>
      </c>
      <c r="C149" s="333">
        <v>1200</v>
      </c>
      <c r="D149" s="332" t="s">
        <v>102</v>
      </c>
      <c r="E149" s="496">
        <v>5640</v>
      </c>
      <c r="F149" s="334">
        <v>80</v>
      </c>
      <c r="G149" s="335">
        <f t="shared" si="82"/>
        <v>0</v>
      </c>
      <c r="H149" s="325">
        <f>+Purchases!G14</f>
        <v>0</v>
      </c>
      <c r="I149" s="326">
        <f t="shared" si="81"/>
        <v>0</v>
      </c>
      <c r="J149" s="338">
        <f t="shared" si="83"/>
        <v>0</v>
      </c>
      <c r="K149" s="332"/>
      <c r="L149" s="336"/>
      <c r="M149" s="337"/>
      <c r="N149" s="338"/>
      <c r="O149" s="339" t="str">
        <f t="shared" si="84"/>
        <v>ROUNDUP TRANSORB</v>
      </c>
      <c r="P149" s="502">
        <v>45588</v>
      </c>
      <c r="Q149" s="334"/>
      <c r="R149" s="334"/>
      <c r="S149" s="334"/>
      <c r="T149" s="491"/>
      <c r="U149" s="334" t="s">
        <v>321</v>
      </c>
      <c r="V149" s="341" t="s">
        <v>317</v>
      </c>
      <c r="W149" s="334"/>
      <c r="X149" s="341" t="s">
        <v>112</v>
      </c>
      <c r="Y149" s="342" t="s">
        <v>225</v>
      </c>
      <c r="Z149" s="334" t="s">
        <v>388</v>
      </c>
      <c r="AA149" s="305"/>
    </row>
    <row r="150" spans="1:28">
      <c r="A150" s="332" t="s">
        <v>218</v>
      </c>
      <c r="B150" s="332" t="s">
        <v>391</v>
      </c>
      <c r="C150" s="333">
        <v>15</v>
      </c>
      <c r="D150" s="332" t="s">
        <v>108</v>
      </c>
      <c r="E150" s="496">
        <v>78.5</v>
      </c>
      <c r="F150" s="334">
        <v>1</v>
      </c>
      <c r="G150" s="335">
        <f>IF(B$3 =1, H150*C150, H150/C150)</f>
        <v>0</v>
      </c>
      <c r="H150" s="325">
        <f>+Purchases!G15</f>
        <v>0</v>
      </c>
      <c r="I150" s="326">
        <f t="shared" si="81"/>
        <v>0</v>
      </c>
      <c r="J150" s="338">
        <f>IF($B$3 =1, H150*F150, (H150/C150) *F150)</f>
        <v>0</v>
      </c>
      <c r="K150" s="332"/>
      <c r="L150" s="336"/>
      <c r="M150" s="337"/>
      <c r="N150" s="338"/>
      <c r="O150" s="339" t="str">
        <f>+A150</f>
        <v>ROUNDUP WEATHERMAX</v>
      </c>
      <c r="P150" s="502">
        <v>45588</v>
      </c>
      <c r="Q150" s="334"/>
      <c r="R150" s="334"/>
      <c r="S150" s="334"/>
      <c r="T150" s="491"/>
      <c r="U150" s="334" t="s">
        <v>321</v>
      </c>
      <c r="V150" s="341" t="s">
        <v>317</v>
      </c>
      <c r="W150" s="334"/>
      <c r="X150" s="341" t="s">
        <v>112</v>
      </c>
      <c r="Y150" s="342" t="s">
        <v>116</v>
      </c>
      <c r="Z150" s="334" t="s">
        <v>155</v>
      </c>
      <c r="AA150" s="305"/>
    </row>
    <row r="151" spans="1:28">
      <c r="A151" s="332" t="s">
        <v>218</v>
      </c>
      <c r="B151" s="332" t="s">
        <v>392</v>
      </c>
      <c r="C151" s="333">
        <v>172</v>
      </c>
      <c r="D151" s="332" t="s">
        <v>102</v>
      </c>
      <c r="E151" s="496">
        <v>902.75</v>
      </c>
      <c r="F151" s="334">
        <v>11.5</v>
      </c>
      <c r="G151" s="335">
        <f t="shared" ref="G151:G153" si="85">IF(B$3 =1, H151*C151, H151/C151)</f>
        <v>0</v>
      </c>
      <c r="H151" s="325">
        <f>+Purchases!G16</f>
        <v>0</v>
      </c>
      <c r="I151" s="326">
        <f t="shared" si="81"/>
        <v>0</v>
      </c>
      <c r="J151" s="338">
        <f t="shared" ref="J151:J153" si="86">IF($B$3 =1, H151*F151, (H151/C151) *F151)</f>
        <v>0</v>
      </c>
      <c r="K151" s="332"/>
      <c r="L151" s="336"/>
      <c r="M151" s="337"/>
      <c r="N151" s="338"/>
      <c r="O151" s="339" t="str">
        <f t="shared" ref="O151:O153" si="87">+A151</f>
        <v>ROUNDUP WEATHERMAX</v>
      </c>
      <c r="P151" s="502">
        <v>45588</v>
      </c>
      <c r="Q151" s="334"/>
      <c r="R151" s="334"/>
      <c r="S151" s="334"/>
      <c r="T151" s="491"/>
      <c r="U151" s="334" t="s">
        <v>321</v>
      </c>
      <c r="V151" s="341" t="s">
        <v>317</v>
      </c>
      <c r="W151" s="334"/>
      <c r="X151" s="341" t="s">
        <v>112</v>
      </c>
      <c r="Y151" s="342" t="s">
        <v>221</v>
      </c>
      <c r="Z151" s="334" t="s">
        <v>388</v>
      </c>
      <c r="AA151" s="305"/>
    </row>
    <row r="152" spans="1:28">
      <c r="A152" s="332" t="s">
        <v>218</v>
      </c>
      <c r="B152" s="332" t="s">
        <v>393</v>
      </c>
      <c r="C152" s="333">
        <v>675</v>
      </c>
      <c r="D152" s="332" t="s">
        <v>102</v>
      </c>
      <c r="E152" s="496">
        <v>3532.5</v>
      </c>
      <c r="F152" s="334">
        <v>45</v>
      </c>
      <c r="G152" s="335">
        <f t="shared" si="85"/>
        <v>0</v>
      </c>
      <c r="H152" s="325">
        <f>+Purchases!G17</f>
        <v>0</v>
      </c>
      <c r="I152" s="326">
        <f t="shared" si="81"/>
        <v>0</v>
      </c>
      <c r="J152" s="338">
        <f t="shared" si="86"/>
        <v>0</v>
      </c>
      <c r="K152" s="332"/>
      <c r="L152" s="336"/>
      <c r="M152" s="337"/>
      <c r="N152" s="338"/>
      <c r="O152" s="339" t="str">
        <f t="shared" si="87"/>
        <v>ROUNDUP WEATHERMAX</v>
      </c>
      <c r="P152" s="502">
        <v>45588</v>
      </c>
      <c r="Q152" s="334"/>
      <c r="R152" s="334"/>
      <c r="S152" s="334"/>
      <c r="T152" s="491"/>
      <c r="U152" s="334" t="s">
        <v>321</v>
      </c>
      <c r="V152" s="341" t="s">
        <v>317</v>
      </c>
      <c r="W152" s="334"/>
      <c r="X152" s="341" t="s">
        <v>112</v>
      </c>
      <c r="Y152" s="342" t="s">
        <v>223</v>
      </c>
      <c r="Z152" s="334" t="s">
        <v>388</v>
      </c>
      <c r="AA152" s="305"/>
    </row>
    <row r="153" spans="1:28">
      <c r="A153" s="332" t="s">
        <v>218</v>
      </c>
      <c r="B153" s="332" t="s">
        <v>394</v>
      </c>
      <c r="C153" s="333">
        <v>1200</v>
      </c>
      <c r="D153" s="332" t="s">
        <v>102</v>
      </c>
      <c r="E153" s="496">
        <v>6280</v>
      </c>
      <c r="F153" s="334">
        <v>80</v>
      </c>
      <c r="G153" s="364">
        <f t="shared" si="85"/>
        <v>0</v>
      </c>
      <c r="H153" s="308">
        <f>+Purchases!G18</f>
        <v>0</v>
      </c>
      <c r="I153" s="309">
        <f t="shared" si="81"/>
        <v>0</v>
      </c>
      <c r="J153" s="338">
        <f t="shared" si="86"/>
        <v>0</v>
      </c>
      <c r="K153" s="332"/>
      <c r="L153" s="336">
        <f>IF( $B$3 = 1,  SUM(G146:G153), SUM(H146:H153) )</f>
        <v>0</v>
      </c>
      <c r="M153" s="337">
        <f>SUM(I146:I153)</f>
        <v>0</v>
      </c>
      <c r="N153" s="338">
        <f>SUM(J146:J153)</f>
        <v>0</v>
      </c>
      <c r="O153" s="339" t="str">
        <f t="shared" si="87"/>
        <v>ROUNDUP WEATHERMAX</v>
      </c>
      <c r="P153" s="502">
        <v>45588</v>
      </c>
      <c r="Q153" s="334"/>
      <c r="R153" s="334"/>
      <c r="S153" s="334"/>
      <c r="T153" s="491"/>
      <c r="U153" s="334" t="s">
        <v>321</v>
      </c>
      <c r="V153" s="341" t="s">
        <v>317</v>
      </c>
      <c r="W153" s="334"/>
      <c r="X153" s="341" t="s">
        <v>112</v>
      </c>
      <c r="Y153" s="342" t="s">
        <v>225</v>
      </c>
      <c r="Z153" s="334" t="s">
        <v>388</v>
      </c>
      <c r="AA153" s="305"/>
    </row>
    <row r="154" spans="1:28">
      <c r="A154" s="314"/>
      <c r="B154" s="314"/>
      <c r="C154" s="317"/>
      <c r="D154" s="314"/>
      <c r="E154" s="53"/>
      <c r="G154" s="229"/>
      <c r="H154" s="318"/>
      <c r="I154" s="319"/>
      <c r="J154" s="320"/>
      <c r="K154" s="314"/>
      <c r="L154" s="318"/>
      <c r="M154" s="319"/>
      <c r="N154" s="320"/>
      <c r="O154" s="47"/>
      <c r="P154" s="321"/>
      <c r="V154" s="36"/>
      <c r="X154" s="36"/>
    </row>
    <row r="155" spans="1:28">
      <c r="A155" s="314"/>
      <c r="C155" s="317"/>
      <c r="D155" s="314"/>
      <c r="E155" s="53"/>
      <c r="G155" s="229"/>
      <c r="H155" s="318"/>
      <c r="I155" s="319"/>
      <c r="J155" s="320"/>
      <c r="K155" s="314"/>
      <c r="L155" s="318"/>
      <c r="M155" s="319"/>
      <c r="N155" s="320"/>
      <c r="O155" s="47"/>
      <c r="P155" s="321"/>
      <c r="V155" s="36"/>
      <c r="X155" s="36"/>
    </row>
    <row r="156" spans="1:28">
      <c r="A156" s="314"/>
      <c r="C156" s="317"/>
      <c r="D156" s="314"/>
      <c r="E156" s="53"/>
      <c r="G156" s="229"/>
      <c r="H156" s="318"/>
      <c r="I156" s="319"/>
      <c r="J156" s="320"/>
      <c r="K156" s="314"/>
      <c r="L156" s="318"/>
      <c r="M156" s="319"/>
      <c r="N156" s="320"/>
      <c r="O156" s="47"/>
      <c r="P156" s="321"/>
      <c r="V156" s="36"/>
      <c r="X156" s="36"/>
    </row>
    <row r="157" spans="1:28">
      <c r="A157" s="314"/>
      <c r="B157" s="314"/>
      <c r="C157" s="317"/>
      <c r="D157" s="314"/>
      <c r="E157" s="53"/>
      <c r="G157" s="229"/>
      <c r="H157" s="318"/>
      <c r="I157" s="319"/>
      <c r="J157" s="320"/>
      <c r="K157" s="314"/>
      <c r="L157" s="318"/>
      <c r="M157" s="319"/>
      <c r="N157" s="320"/>
      <c r="O157" s="47"/>
      <c r="P157" s="321"/>
      <c r="V157" s="36"/>
      <c r="X157" s="36"/>
    </row>
    <row r="158" spans="1:28">
      <c r="A158" s="314"/>
      <c r="B158" s="314" t="s">
        <v>119</v>
      </c>
      <c r="C158" s="317"/>
      <c r="D158" s="314"/>
      <c r="E158" s="53"/>
      <c r="G158" s="229"/>
      <c r="H158" s="318"/>
      <c r="I158" s="319"/>
      <c r="J158" s="320"/>
      <c r="K158" s="314"/>
      <c r="L158" s="318"/>
      <c r="M158" s="319"/>
      <c r="N158" s="320"/>
      <c r="O158" s="47"/>
      <c r="P158" s="321"/>
      <c r="V158" s="36"/>
      <c r="X158" s="36"/>
    </row>
    <row r="159" spans="1:28">
      <c r="A159" s="314"/>
      <c r="B159" s="314"/>
      <c r="C159" s="317"/>
      <c r="D159" s="314"/>
      <c r="E159" s="53"/>
      <c r="G159" s="229"/>
      <c r="H159" s="318"/>
      <c r="I159" s="319"/>
      <c r="J159" s="320"/>
      <c r="K159" s="314"/>
      <c r="L159" s="318"/>
      <c r="M159" s="319"/>
      <c r="N159" s="320"/>
      <c r="O159" s="47"/>
      <c r="P159" s="321"/>
      <c r="V159" s="36"/>
      <c r="X159" s="36"/>
    </row>
    <row r="160" spans="1:28">
      <c r="A160" s="314"/>
      <c r="B160" s="314"/>
      <c r="C160" s="317"/>
      <c r="D160" s="314"/>
      <c r="E160" s="53"/>
      <c r="G160" s="229"/>
      <c r="H160" s="318"/>
      <c r="I160" s="319"/>
      <c r="J160" s="320"/>
      <c r="K160" s="314"/>
      <c r="L160" s="318"/>
      <c r="M160" s="319"/>
      <c r="N160" s="320"/>
      <c r="O160" s="47"/>
      <c r="P160" s="321"/>
      <c r="V160" s="36"/>
      <c r="X160" s="36"/>
    </row>
    <row r="161" spans="1:24">
      <c r="A161" s="314"/>
      <c r="B161" s="314"/>
      <c r="C161" s="317"/>
      <c r="D161" s="314"/>
      <c r="E161" s="53"/>
      <c r="G161" s="229"/>
      <c r="H161" s="318"/>
      <c r="I161" s="319"/>
      <c r="J161" s="320"/>
      <c r="K161" s="314"/>
      <c r="L161" s="318"/>
      <c r="M161" s="319"/>
      <c r="N161" s="320"/>
      <c r="O161" s="47"/>
      <c r="P161" s="321"/>
      <c r="V161" s="36"/>
      <c r="X161" s="36"/>
    </row>
    <row r="162" spans="1:24">
      <c r="A162" s="314"/>
      <c r="B162" s="314"/>
      <c r="C162" s="317"/>
      <c r="D162" s="314"/>
      <c r="E162" s="53"/>
      <c r="G162" s="229"/>
      <c r="H162" s="318"/>
      <c r="I162" s="319"/>
      <c r="J162" s="320"/>
      <c r="K162" s="314"/>
      <c r="L162" s="318"/>
      <c r="M162" s="319"/>
      <c r="N162" s="320"/>
      <c r="O162" s="47"/>
      <c r="P162" s="321"/>
      <c r="V162" s="36"/>
      <c r="X162" s="36"/>
    </row>
    <row r="163" spans="1:24">
      <c r="A163" s="314"/>
      <c r="B163" s="314"/>
      <c r="C163" s="317"/>
      <c r="D163" s="314"/>
      <c r="E163" s="53"/>
      <c r="G163" s="229"/>
      <c r="H163" s="318"/>
      <c r="I163" s="319"/>
      <c r="J163" s="320"/>
      <c r="K163" s="314"/>
      <c r="L163" s="318"/>
      <c r="M163" s="319"/>
      <c r="N163" s="320"/>
      <c r="O163" s="47"/>
      <c r="P163" s="321"/>
      <c r="V163" s="36"/>
      <c r="X163" s="36"/>
    </row>
    <row r="164" spans="1:24">
      <c r="A164" s="314"/>
      <c r="B164" s="314"/>
      <c r="C164" s="317"/>
      <c r="D164" s="314"/>
      <c r="E164" s="53"/>
      <c r="G164" s="229"/>
      <c r="H164" s="318"/>
      <c r="I164" s="319"/>
      <c r="J164" s="320"/>
      <c r="K164" s="314"/>
      <c r="L164" s="318"/>
      <c r="M164" s="319"/>
      <c r="N164" s="320"/>
      <c r="O164" s="47"/>
      <c r="P164" s="321"/>
      <c r="V164" s="36"/>
      <c r="X164" s="36"/>
    </row>
    <row r="165" spans="1:24">
      <c r="A165" s="314"/>
      <c r="B165" s="314"/>
      <c r="C165" s="317"/>
      <c r="D165" s="314"/>
      <c r="E165" s="53"/>
      <c r="G165" s="229"/>
      <c r="H165" s="318"/>
      <c r="I165" s="319"/>
      <c r="J165" s="320"/>
      <c r="K165" s="314"/>
      <c r="L165" s="318"/>
      <c r="M165" s="319"/>
      <c r="N165" s="320"/>
      <c r="O165" s="47"/>
      <c r="P165" s="321"/>
      <c r="V165" s="36"/>
      <c r="X165" s="36"/>
    </row>
    <row r="166" spans="1:24">
      <c r="A166" s="314"/>
      <c r="B166" s="314"/>
      <c r="C166" s="317"/>
      <c r="D166" s="314"/>
      <c r="E166" s="53"/>
      <c r="G166" s="229"/>
      <c r="H166" s="318"/>
      <c r="I166" s="319"/>
      <c r="J166" s="320"/>
      <c r="K166" s="314"/>
      <c r="L166" s="318"/>
      <c r="M166" s="319"/>
      <c r="N166" s="320"/>
      <c r="O166" s="47"/>
      <c r="P166" s="321"/>
      <c r="V166" s="36"/>
      <c r="X166" s="36"/>
    </row>
    <row r="167" spans="1:24">
      <c r="A167" s="314"/>
      <c r="B167" s="314"/>
      <c r="C167" s="317"/>
      <c r="D167" s="314"/>
      <c r="E167" s="53"/>
      <c r="G167" s="229"/>
      <c r="H167" s="318"/>
      <c r="I167" s="319"/>
      <c r="J167" s="320"/>
      <c r="K167" s="314"/>
      <c r="L167" s="318"/>
      <c r="M167" s="319"/>
      <c r="N167" s="320"/>
      <c r="O167" s="47"/>
      <c r="P167" s="321"/>
      <c r="V167" s="36"/>
      <c r="X167" s="36"/>
    </row>
    <row r="168" spans="1:24">
      <c r="A168" s="314"/>
      <c r="B168" s="314"/>
      <c r="C168" s="317"/>
      <c r="D168" s="314"/>
      <c r="E168" s="53"/>
      <c r="G168" s="229"/>
      <c r="H168" s="318"/>
      <c r="I168" s="319"/>
      <c r="J168" s="320"/>
      <c r="K168" s="314"/>
      <c r="L168" s="318"/>
      <c r="M168" s="319"/>
      <c r="N168" s="320"/>
      <c r="O168" s="47"/>
      <c r="P168" s="321"/>
      <c r="V168" s="36"/>
      <c r="X168" s="36"/>
    </row>
    <row r="169" spans="1:24">
      <c r="A169" s="314"/>
      <c r="B169" s="314"/>
      <c r="C169" s="317"/>
      <c r="D169" s="314"/>
      <c r="E169" s="53"/>
      <c r="G169" s="229"/>
      <c r="H169" s="318"/>
      <c r="I169" s="319"/>
      <c r="J169" s="320"/>
      <c r="K169" s="314"/>
      <c r="L169" s="318"/>
      <c r="M169" s="319"/>
      <c r="N169" s="320"/>
      <c r="O169" s="47"/>
      <c r="P169" s="321"/>
      <c r="V169" s="36"/>
      <c r="X169" s="36"/>
    </row>
    <row r="170" spans="1:24">
      <c r="A170" s="314"/>
      <c r="B170" s="314"/>
      <c r="C170" s="317"/>
      <c r="D170" s="314"/>
      <c r="E170" s="53"/>
      <c r="G170" s="229"/>
      <c r="H170" s="318"/>
      <c r="I170" s="319"/>
      <c r="J170" s="320"/>
      <c r="K170" s="314"/>
      <c r="L170" s="318"/>
      <c r="M170" s="319"/>
      <c r="N170" s="320"/>
      <c r="O170" s="47"/>
      <c r="P170" s="321"/>
      <c r="V170" s="36"/>
      <c r="X170" s="36"/>
    </row>
    <row r="171" spans="1:24">
      <c r="A171" s="314"/>
      <c r="B171" s="314"/>
      <c r="C171" s="317"/>
      <c r="D171" s="314"/>
      <c r="E171" s="53"/>
      <c r="G171" s="229"/>
      <c r="H171" s="318"/>
      <c r="I171" s="319"/>
      <c r="J171" s="320"/>
      <c r="K171" s="314"/>
      <c r="L171" s="318"/>
      <c r="M171" s="319"/>
      <c r="N171" s="320"/>
      <c r="O171" s="47"/>
      <c r="P171" s="321"/>
      <c r="V171" s="36"/>
      <c r="X171" s="36"/>
    </row>
    <row r="172" spans="1:24">
      <c r="A172" s="314"/>
      <c r="B172" s="314"/>
      <c r="C172" s="317"/>
      <c r="D172" s="314"/>
      <c r="E172" s="53"/>
      <c r="G172" s="229"/>
      <c r="H172" s="318"/>
      <c r="I172" s="319"/>
      <c r="J172" s="320"/>
      <c r="K172" s="314"/>
      <c r="L172" s="318"/>
      <c r="M172" s="319"/>
      <c r="N172" s="320"/>
      <c r="O172" s="47"/>
      <c r="P172" s="321"/>
      <c r="V172" s="36"/>
      <c r="X172" s="36"/>
    </row>
    <row r="173" spans="1:24">
      <c r="A173" s="314"/>
      <c r="B173" s="314"/>
      <c r="C173" s="317"/>
      <c r="D173" s="314"/>
      <c r="E173" s="53"/>
      <c r="G173" s="229"/>
      <c r="H173" s="318"/>
      <c r="I173" s="319"/>
      <c r="J173" s="320"/>
      <c r="K173" s="314"/>
      <c r="L173" s="318"/>
      <c r="M173" s="319"/>
      <c r="N173" s="320"/>
      <c r="O173" s="47"/>
      <c r="P173" s="321"/>
      <c r="V173" s="36"/>
      <c r="X173" s="36"/>
    </row>
    <row r="174" spans="1:24">
      <c r="A174" s="314"/>
      <c r="B174" s="314"/>
      <c r="C174" s="317"/>
      <c r="D174" s="314"/>
      <c r="E174" s="53"/>
      <c r="G174" s="229"/>
      <c r="H174" s="318"/>
      <c r="I174" s="319"/>
      <c r="J174" s="320"/>
      <c r="K174" s="314"/>
      <c r="L174" s="318"/>
      <c r="M174" s="319"/>
      <c r="N174" s="320"/>
      <c r="O174" s="47"/>
      <c r="P174" s="321"/>
      <c r="V174" s="36"/>
      <c r="X174" s="36"/>
    </row>
    <row r="175" spans="1:24">
      <c r="A175" s="314"/>
      <c r="B175" s="314"/>
      <c r="C175" s="317"/>
      <c r="D175" s="314"/>
      <c r="E175" s="53"/>
      <c r="G175" s="229"/>
      <c r="H175" s="318"/>
      <c r="I175" s="319"/>
      <c r="J175" s="320"/>
      <c r="K175" s="314"/>
      <c r="L175" s="318"/>
      <c r="M175" s="319"/>
      <c r="N175" s="320"/>
      <c r="O175" s="47"/>
      <c r="P175" s="321"/>
      <c r="V175" s="36"/>
      <c r="X175" s="36"/>
    </row>
    <row r="176" spans="1:24">
      <c r="A176" s="314"/>
      <c r="B176" s="314"/>
      <c r="C176" s="317"/>
      <c r="D176" s="314"/>
      <c r="E176" s="53"/>
      <c r="G176" s="229"/>
      <c r="H176" s="318"/>
      <c r="I176" s="319"/>
      <c r="J176" s="320"/>
      <c r="K176" s="314"/>
      <c r="L176" s="318"/>
      <c r="M176" s="319"/>
      <c r="N176" s="320"/>
      <c r="O176" s="47"/>
      <c r="P176" s="321"/>
      <c r="V176" s="36"/>
      <c r="X176" s="36"/>
    </row>
    <row r="177" spans="1:24">
      <c r="A177" s="314"/>
      <c r="B177" s="314"/>
      <c r="C177" s="317"/>
      <c r="D177" s="314"/>
      <c r="E177" s="53"/>
      <c r="G177" s="229"/>
      <c r="H177" s="318"/>
      <c r="I177" s="319"/>
      <c r="J177" s="320"/>
      <c r="K177" s="314"/>
      <c r="L177" s="318"/>
      <c r="M177" s="319"/>
      <c r="N177" s="320"/>
      <c r="O177" s="47"/>
      <c r="P177" s="321"/>
      <c r="V177" s="36"/>
      <c r="X177" s="36"/>
    </row>
    <row r="178" spans="1:24">
      <c r="A178" s="314"/>
      <c r="B178" s="314"/>
      <c r="C178" s="317"/>
      <c r="D178" s="314"/>
      <c r="E178" s="53"/>
      <c r="G178" s="229"/>
      <c r="H178" s="318"/>
      <c r="I178" s="319"/>
      <c r="J178" s="320"/>
      <c r="K178" s="314"/>
      <c r="L178" s="318"/>
      <c r="M178" s="319"/>
      <c r="N178" s="320"/>
      <c r="O178" s="47"/>
      <c r="P178" s="321"/>
      <c r="V178" s="36"/>
      <c r="X178" s="36"/>
    </row>
    <row r="179" spans="1:24">
      <c r="A179" s="314"/>
      <c r="B179" s="314"/>
      <c r="C179" s="317"/>
      <c r="D179" s="314"/>
      <c r="E179" s="53"/>
      <c r="G179" s="229"/>
      <c r="H179" s="318"/>
      <c r="I179" s="319"/>
      <c r="J179" s="320"/>
      <c r="K179" s="314"/>
      <c r="L179" s="318"/>
      <c r="M179" s="319"/>
      <c r="N179" s="320"/>
      <c r="O179" s="47"/>
      <c r="P179" s="321"/>
      <c r="V179" s="36"/>
      <c r="X179" s="36"/>
    </row>
    <row r="180" spans="1:24">
      <c r="A180" s="314"/>
      <c r="B180" s="314"/>
      <c r="C180" s="317"/>
      <c r="D180" s="314"/>
      <c r="E180" s="53"/>
      <c r="G180" s="229"/>
      <c r="H180" s="318"/>
      <c r="I180" s="319"/>
      <c r="J180" s="320"/>
      <c r="K180" s="314"/>
      <c r="L180" s="318"/>
      <c r="M180" s="319"/>
      <c r="N180" s="320"/>
      <c r="O180" s="47"/>
      <c r="P180" s="321"/>
      <c r="V180" s="36"/>
      <c r="X180" s="36"/>
    </row>
    <row r="181" spans="1:24">
      <c r="A181" s="314"/>
      <c r="B181" s="314"/>
      <c r="C181" s="317"/>
      <c r="D181" s="314"/>
      <c r="E181" s="53"/>
      <c r="G181" s="229"/>
      <c r="H181" s="318"/>
      <c r="I181" s="319"/>
      <c r="J181" s="320"/>
      <c r="K181" s="314"/>
      <c r="L181" s="318"/>
      <c r="M181" s="319"/>
      <c r="N181" s="320"/>
      <c r="O181" s="47"/>
      <c r="P181" s="321"/>
      <c r="V181" s="36"/>
      <c r="X181" s="36"/>
    </row>
    <row r="182" spans="1:24">
      <c r="A182" s="314"/>
      <c r="B182" s="314"/>
      <c r="C182" s="317"/>
      <c r="D182" s="314"/>
      <c r="E182" s="53"/>
      <c r="G182" s="229"/>
      <c r="H182" s="318"/>
      <c r="I182" s="319"/>
      <c r="J182" s="320"/>
      <c r="K182" s="314"/>
      <c r="L182" s="318"/>
      <c r="M182" s="319"/>
      <c r="N182" s="320"/>
      <c r="O182" s="47"/>
      <c r="P182" s="321"/>
      <c r="V182" s="36"/>
      <c r="X182" s="36"/>
    </row>
    <row r="183" spans="1:24">
      <c r="A183" s="314"/>
      <c r="B183" s="314"/>
      <c r="C183" s="317"/>
      <c r="D183" s="314"/>
      <c r="E183" s="53"/>
      <c r="G183" s="229"/>
      <c r="H183" s="318"/>
      <c r="I183" s="319"/>
      <c r="J183" s="320"/>
      <c r="K183" s="314"/>
      <c r="L183" s="318"/>
      <c r="M183" s="319"/>
      <c r="N183" s="320"/>
      <c r="O183" s="47"/>
      <c r="P183" s="321"/>
      <c r="V183" s="36"/>
      <c r="X183" s="36"/>
    </row>
    <row r="184" spans="1:24">
      <c r="A184" s="314"/>
      <c r="B184" s="314"/>
      <c r="C184" s="317"/>
      <c r="D184" s="314"/>
      <c r="E184" s="53"/>
      <c r="G184" s="229"/>
      <c r="H184" s="318"/>
      <c r="I184" s="319"/>
      <c r="J184" s="320"/>
      <c r="K184" s="314"/>
      <c r="L184" s="318"/>
      <c r="M184" s="319"/>
      <c r="N184" s="320"/>
      <c r="O184" s="47"/>
      <c r="P184" s="321"/>
      <c r="V184" s="36"/>
      <c r="X184" s="36"/>
    </row>
    <row r="185" spans="1:24">
      <c r="A185" s="314"/>
      <c r="B185" s="314"/>
      <c r="C185" s="317"/>
      <c r="D185" s="314"/>
      <c r="E185" s="53"/>
      <c r="G185" s="229"/>
      <c r="H185" s="318"/>
      <c r="I185" s="319"/>
      <c r="J185" s="320"/>
      <c r="K185" s="314"/>
      <c r="L185" s="318"/>
      <c r="M185" s="319"/>
      <c r="N185" s="320"/>
      <c r="O185" s="47"/>
      <c r="P185" s="321"/>
      <c r="V185" s="36"/>
      <c r="X185" s="36"/>
    </row>
    <row r="186" spans="1:24">
      <c r="A186" s="314"/>
      <c r="B186" s="314"/>
      <c r="C186" s="317"/>
      <c r="D186" s="314"/>
      <c r="E186" s="53"/>
      <c r="G186" s="229"/>
      <c r="H186" s="318"/>
      <c r="I186" s="319"/>
      <c r="J186" s="320"/>
      <c r="K186" s="314"/>
      <c r="L186" s="318"/>
      <c r="M186" s="319"/>
      <c r="N186" s="320"/>
      <c r="O186" s="47"/>
      <c r="P186" s="321"/>
      <c r="V186" s="36"/>
      <c r="X186" s="36"/>
    </row>
    <row r="187" spans="1:24">
      <c r="A187" s="314"/>
      <c r="B187" s="314"/>
      <c r="C187" s="317"/>
      <c r="D187" s="314"/>
      <c r="E187" s="53"/>
      <c r="G187" s="229"/>
      <c r="H187" s="318"/>
      <c r="I187" s="319"/>
      <c r="J187" s="320"/>
      <c r="K187" s="314"/>
      <c r="L187" s="318"/>
      <c r="M187" s="319"/>
      <c r="N187" s="320"/>
      <c r="O187" s="47"/>
      <c r="P187" s="321"/>
      <c r="V187" s="36"/>
      <c r="X187" s="36"/>
    </row>
    <row r="188" spans="1:24">
      <c r="A188" s="314"/>
      <c r="B188" s="314"/>
      <c r="C188" s="317"/>
      <c r="D188" s="314"/>
      <c r="E188" s="53"/>
      <c r="G188" s="229"/>
      <c r="H188" s="318"/>
      <c r="I188" s="319"/>
      <c r="J188" s="320"/>
      <c r="K188" s="314"/>
      <c r="L188" s="318"/>
      <c r="M188" s="319"/>
      <c r="N188" s="320"/>
      <c r="O188" s="47"/>
      <c r="P188" s="321"/>
      <c r="V188" s="36"/>
      <c r="X188" s="36"/>
    </row>
    <row r="189" spans="1:24">
      <c r="A189" s="314"/>
      <c r="B189" s="314"/>
      <c r="C189" s="317"/>
      <c r="D189" s="314"/>
      <c r="E189" s="53"/>
      <c r="G189" s="229"/>
      <c r="H189" s="318"/>
      <c r="I189" s="319"/>
      <c r="J189" s="320"/>
      <c r="K189" s="314"/>
      <c r="L189" s="318"/>
      <c r="M189" s="319"/>
      <c r="N189" s="320"/>
      <c r="O189" s="47"/>
      <c r="P189" s="321"/>
      <c r="V189" s="36"/>
      <c r="X189" s="36"/>
    </row>
    <row r="190" spans="1:24">
      <c r="A190" s="314"/>
      <c r="B190" s="314"/>
      <c r="C190" s="317"/>
      <c r="D190" s="314"/>
      <c r="E190" s="53"/>
      <c r="G190" s="229"/>
      <c r="H190" s="318"/>
      <c r="I190" s="319"/>
      <c r="J190" s="320"/>
      <c r="K190" s="314"/>
      <c r="L190" s="318"/>
      <c r="M190" s="319"/>
      <c r="N190" s="320"/>
      <c r="O190" s="47"/>
      <c r="P190" s="321"/>
      <c r="V190" s="36"/>
      <c r="X190" s="36"/>
    </row>
    <row r="191" spans="1:24">
      <c r="A191" s="314"/>
      <c r="B191" s="314"/>
      <c r="C191" s="317"/>
      <c r="D191" s="314"/>
      <c r="E191" s="53"/>
      <c r="G191" s="229"/>
      <c r="H191" s="318"/>
      <c r="I191" s="319"/>
      <c r="J191" s="320"/>
      <c r="K191" s="314"/>
      <c r="L191" s="318"/>
      <c r="M191" s="319"/>
      <c r="N191" s="320"/>
      <c r="O191" s="47"/>
      <c r="P191" s="321"/>
      <c r="V191" s="36"/>
      <c r="X191" s="36"/>
    </row>
    <row r="192" spans="1:24">
      <c r="A192" s="314"/>
      <c r="B192" s="314"/>
      <c r="C192" s="317"/>
      <c r="D192" s="314"/>
      <c r="E192" s="53"/>
      <c r="G192" s="229"/>
      <c r="H192" s="318"/>
      <c r="I192" s="319"/>
      <c r="J192" s="320"/>
      <c r="K192" s="314"/>
      <c r="L192" s="318"/>
      <c r="M192" s="319"/>
      <c r="N192" s="320"/>
      <c r="O192" s="47"/>
      <c r="P192" s="321"/>
      <c r="V192" s="36"/>
      <c r="X192" s="36"/>
    </row>
    <row r="193" spans="1:25">
      <c r="A193" s="314"/>
      <c r="B193" s="314"/>
      <c r="C193" s="317"/>
      <c r="D193" s="314"/>
      <c r="E193" s="53"/>
      <c r="G193" s="229"/>
      <c r="H193" s="318"/>
      <c r="I193" s="319"/>
      <c r="J193" s="320"/>
      <c r="K193" s="314"/>
      <c r="L193" s="318"/>
      <c r="M193" s="319"/>
      <c r="N193" s="320"/>
      <c r="O193" s="47"/>
      <c r="P193" s="321"/>
      <c r="V193" s="36"/>
      <c r="X193" s="36"/>
    </row>
    <row r="194" spans="1:25">
      <c r="A194" s="314"/>
      <c r="B194" s="314"/>
      <c r="C194" s="317"/>
      <c r="D194" s="314"/>
      <c r="E194" s="53"/>
      <c r="G194" s="229"/>
      <c r="H194" s="318"/>
      <c r="I194" s="319"/>
      <c r="J194" s="320"/>
      <c r="K194" s="314"/>
      <c r="L194" s="318"/>
      <c r="M194" s="319"/>
      <c r="N194" s="320"/>
      <c r="O194" s="47"/>
      <c r="P194" s="321"/>
      <c r="V194" s="36"/>
      <c r="X194" s="36"/>
    </row>
    <row r="195" spans="1:25">
      <c r="A195" s="314"/>
      <c r="B195" s="314"/>
      <c r="C195" s="317"/>
      <c r="D195" s="314"/>
      <c r="E195" s="53"/>
      <c r="G195" s="229"/>
      <c r="H195" s="318"/>
      <c r="I195" s="319"/>
      <c r="J195" s="320"/>
      <c r="K195" s="314"/>
      <c r="L195" s="318"/>
      <c r="M195" s="319"/>
      <c r="N195" s="320"/>
      <c r="O195" s="47"/>
      <c r="P195" s="321"/>
      <c r="V195" s="36"/>
      <c r="X195" s="36"/>
    </row>
    <row r="196" spans="1:25">
      <c r="A196" s="314"/>
      <c r="B196" s="314"/>
      <c r="C196" s="317"/>
      <c r="D196" s="314"/>
      <c r="E196" s="53"/>
      <c r="G196" s="229"/>
      <c r="H196" s="318"/>
      <c r="I196" s="319"/>
      <c r="J196" s="320"/>
      <c r="K196" s="314"/>
      <c r="L196" s="318"/>
      <c r="M196" s="319"/>
      <c r="N196" s="320"/>
      <c r="O196" s="47"/>
      <c r="P196" s="321"/>
      <c r="V196" s="36"/>
      <c r="X196" s="36"/>
    </row>
    <row r="197" spans="1:25">
      <c r="A197" s="314"/>
      <c r="B197" s="314"/>
      <c r="C197" s="317"/>
      <c r="D197" s="314"/>
      <c r="E197" s="53"/>
      <c r="G197" s="229"/>
      <c r="H197" s="318"/>
      <c r="I197" s="319"/>
      <c r="J197" s="320"/>
      <c r="K197" s="314"/>
      <c r="L197" s="318"/>
      <c r="M197" s="319"/>
      <c r="N197" s="320"/>
      <c r="O197" s="47"/>
      <c r="P197" s="321"/>
      <c r="V197" s="36"/>
      <c r="X197" s="36"/>
    </row>
    <row r="198" spans="1:25">
      <c r="A198" s="314"/>
      <c r="B198" s="314"/>
      <c r="C198" s="317"/>
      <c r="D198" s="314"/>
      <c r="E198" s="53"/>
      <c r="G198" s="229"/>
      <c r="H198" s="318"/>
      <c r="I198" s="319"/>
      <c r="J198" s="320"/>
      <c r="K198" s="314"/>
      <c r="L198" s="318"/>
      <c r="M198" s="319"/>
      <c r="N198" s="320"/>
      <c r="O198" s="47"/>
      <c r="P198" s="321"/>
      <c r="V198" s="36"/>
      <c r="X198" s="36"/>
    </row>
    <row r="199" spans="1:25">
      <c r="A199" s="314"/>
      <c r="B199" s="314"/>
      <c r="C199" s="317"/>
      <c r="D199" s="314"/>
      <c r="E199" s="53"/>
      <c r="G199" s="229"/>
      <c r="H199" s="318"/>
      <c r="I199" s="319"/>
      <c r="J199" s="320"/>
      <c r="K199" s="314"/>
      <c r="L199" s="318"/>
      <c r="M199" s="319"/>
      <c r="N199" s="320"/>
      <c r="O199" s="47"/>
      <c r="P199" s="321"/>
      <c r="V199" s="36"/>
      <c r="X199" s="36"/>
    </row>
    <row r="200" spans="1:25">
      <c r="A200" s="314"/>
      <c r="B200" s="314"/>
      <c r="C200" s="317"/>
      <c r="D200" s="314"/>
      <c r="E200" s="53"/>
      <c r="G200" s="229"/>
      <c r="H200" s="318"/>
      <c r="I200" s="319"/>
      <c r="J200" s="320"/>
      <c r="K200" s="314"/>
      <c r="L200" s="318"/>
      <c r="M200" s="319"/>
      <c r="N200" s="320"/>
      <c r="O200" s="47"/>
      <c r="P200" s="321"/>
      <c r="V200" s="36"/>
      <c r="X200" s="36"/>
    </row>
    <row r="201" spans="1:25">
      <c r="A201" s="314"/>
      <c r="B201" s="314"/>
      <c r="C201" s="317"/>
      <c r="D201" s="314"/>
      <c r="E201" s="53"/>
      <c r="G201" s="229"/>
      <c r="H201" s="318"/>
      <c r="I201" s="319"/>
      <c r="J201" s="320"/>
      <c r="K201" s="314"/>
      <c r="L201" s="318"/>
      <c r="M201" s="319"/>
      <c r="N201" s="320"/>
      <c r="O201" s="47"/>
      <c r="P201" s="321"/>
      <c r="V201" s="36"/>
      <c r="X201" s="36"/>
    </row>
    <row r="202" spans="1:25">
      <c r="A202" s="314"/>
      <c r="B202" s="314"/>
      <c r="C202" s="317"/>
      <c r="D202" s="314"/>
      <c r="E202" s="53"/>
      <c r="G202" s="229"/>
      <c r="H202" s="318"/>
      <c r="I202" s="319"/>
      <c r="J202" s="320"/>
      <c r="K202" s="314"/>
      <c r="L202" s="318"/>
      <c r="M202" s="319"/>
      <c r="N202" s="320"/>
      <c r="O202" s="47"/>
      <c r="P202" s="321"/>
      <c r="V202" s="36"/>
      <c r="X202" s="36"/>
    </row>
    <row r="203" spans="1:25">
      <c r="A203" s="314"/>
      <c r="B203" s="314"/>
      <c r="C203" s="317"/>
      <c r="D203" s="314"/>
      <c r="E203" s="53"/>
      <c r="G203" s="229"/>
      <c r="H203" s="318"/>
      <c r="I203" s="319"/>
      <c r="J203" s="320"/>
      <c r="K203" s="314"/>
      <c r="L203" s="318"/>
      <c r="M203" s="319"/>
      <c r="N203" s="320"/>
      <c r="O203" s="47"/>
      <c r="P203" s="321"/>
      <c r="V203" s="36"/>
      <c r="X203" s="36"/>
    </row>
    <row r="204" spans="1:25">
      <c r="A204" s="314"/>
      <c r="B204" s="314"/>
      <c r="C204" s="317"/>
      <c r="D204" s="314"/>
      <c r="E204" s="53"/>
      <c r="G204" s="229"/>
      <c r="H204" s="318"/>
      <c r="I204" s="319"/>
      <c r="J204" s="320"/>
      <c r="K204" s="314"/>
      <c r="L204" s="318"/>
      <c r="M204" s="319"/>
      <c r="N204" s="320"/>
      <c r="O204" s="47"/>
      <c r="P204" s="321"/>
      <c r="V204" s="36"/>
      <c r="X204" s="36"/>
    </row>
    <row r="205" spans="1:25">
      <c r="A205" s="314"/>
      <c r="B205" s="314"/>
      <c r="C205" s="317"/>
      <c r="D205" s="314"/>
      <c r="E205" s="53"/>
      <c r="G205" s="229"/>
      <c r="H205" s="318"/>
      <c r="I205" s="319"/>
      <c r="J205" s="320"/>
      <c r="K205" s="314"/>
      <c r="L205" s="318"/>
      <c r="M205" s="319"/>
      <c r="N205" s="320"/>
      <c r="O205" s="47"/>
      <c r="P205" s="321"/>
      <c r="V205" s="36"/>
      <c r="X205" s="36"/>
    </row>
    <row r="206" spans="1:25">
      <c r="A206" s="314"/>
      <c r="B206" s="314"/>
      <c r="C206" s="317"/>
      <c r="D206" s="314"/>
      <c r="E206" s="53"/>
      <c r="F206" s="344"/>
      <c r="G206" s="229"/>
      <c r="H206" s="318"/>
      <c r="I206" s="319"/>
      <c r="J206" s="320"/>
      <c r="K206" s="314"/>
      <c r="L206" s="318"/>
      <c r="M206" s="319"/>
      <c r="N206" s="320"/>
      <c r="O206" s="345"/>
      <c r="P206" s="321"/>
      <c r="U206" s="36"/>
      <c r="V206" s="36"/>
      <c r="X206" s="36"/>
    </row>
    <row r="207" spans="1:25">
      <c r="A207" s="504" t="s">
        <v>395</v>
      </c>
      <c r="B207" s="332"/>
      <c r="C207" s="332" t="s">
        <v>396</v>
      </c>
      <c r="D207" s="332"/>
      <c r="E207" s="356" t="s">
        <v>397</v>
      </c>
      <c r="F207" s="332"/>
      <c r="G207" s="357"/>
      <c r="H207" s="358"/>
      <c r="I207" s="359"/>
      <c r="J207" s="332"/>
      <c r="K207" s="332"/>
      <c r="L207" s="360">
        <v>45567</v>
      </c>
      <c r="M207" s="361"/>
      <c r="N207" s="362"/>
      <c r="O207" s="363" t="s">
        <v>398</v>
      </c>
      <c r="P207" s="340">
        <v>45567</v>
      </c>
      <c r="Q207" s="351"/>
      <c r="R207" s="343"/>
      <c r="S207" s="346"/>
      <c r="T207" s="350"/>
      <c r="U207" s="350"/>
      <c r="V207" s="36"/>
      <c r="W207" s="36"/>
      <c r="X207" s="36"/>
      <c r="Y207" s="36"/>
    </row>
    <row r="208" spans="1:25" hidden="1">
      <c r="A208" s="227" t="s">
        <v>399</v>
      </c>
      <c r="B208" s="352"/>
      <c r="C208" s="353"/>
      <c r="D208" s="352"/>
      <c r="E208" s="354"/>
      <c r="F208" s="354"/>
      <c r="G208" s="354"/>
      <c r="H208" s="355"/>
      <c r="I208" s="355"/>
      <c r="J208" s="354"/>
      <c r="K208" s="354"/>
      <c r="L208" s="354"/>
      <c r="M208" s="355"/>
      <c r="N208" s="354"/>
      <c r="O208" s="354"/>
      <c r="P208" s="354"/>
      <c r="Q208" s="216">
        <f>IF(L46 &gt;=L61, L61,L46)</f>
        <v>0</v>
      </c>
      <c r="R208" s="220">
        <f>+L61-Q208</f>
        <v>0</v>
      </c>
      <c r="S208" s="347" t="s">
        <v>400</v>
      </c>
      <c r="V208" s="36"/>
      <c r="W208" s="36"/>
      <c r="X208" s="36"/>
      <c r="Y208" s="36"/>
    </row>
    <row r="209" spans="1:25" hidden="1">
      <c r="A209" s="227" t="s">
        <v>401</v>
      </c>
      <c r="B209" s="219"/>
      <c r="C209" s="219"/>
      <c r="D209" s="219"/>
      <c r="E209" s="222"/>
      <c r="F209" s="219"/>
      <c r="G209" s="223"/>
      <c r="H209" s="223"/>
      <c r="I209" s="223"/>
      <c r="J209" s="218"/>
      <c r="K209" s="218"/>
      <c r="L209" s="218"/>
      <c r="M209" s="224"/>
      <c r="N209" s="218"/>
      <c r="O209" s="219"/>
      <c r="P209" s="219"/>
      <c r="Q209" s="221" t="s">
        <v>400</v>
      </c>
      <c r="R209" s="221" t="s">
        <v>400</v>
      </c>
      <c r="S209" s="348">
        <f>IF(L68 &gt;=R208,R208,L68)</f>
        <v>0</v>
      </c>
      <c r="V209" s="36"/>
      <c r="W209" s="36"/>
      <c r="X209" s="36"/>
      <c r="Y209" s="36"/>
    </row>
    <row r="210" spans="1:25">
      <c r="A210" s="228"/>
      <c r="B210" s="216"/>
      <c r="C210" s="216"/>
      <c r="D210" s="216"/>
      <c r="E210" s="214"/>
      <c r="F210" s="225"/>
      <c r="G210" s="225"/>
      <c r="H210" s="215" t="s">
        <v>402</v>
      </c>
      <c r="I210" s="205">
        <f>SUM(I108:I206)</f>
        <v>0</v>
      </c>
      <c r="J210" s="226"/>
      <c r="K210" s="226"/>
      <c r="L210" s="226"/>
      <c r="M210" s="261"/>
      <c r="N210" s="226"/>
      <c r="O210" s="216"/>
      <c r="P210" s="219"/>
      <c r="Q210" s="219" t="s">
        <v>403</v>
      </c>
      <c r="R210" s="219"/>
      <c r="S210" s="348">
        <f>+Q208+S209</f>
        <v>0</v>
      </c>
    </row>
    <row r="211" spans="1:25" hidden="1">
      <c r="A211" s="47"/>
      <c r="B211" s="16" t="b">
        <v>1</v>
      </c>
      <c r="E211" s="207">
        <v>1230</v>
      </c>
      <c r="F211" s="48" t="s">
        <v>404</v>
      </c>
      <c r="G211" s="48"/>
      <c r="H211" s="48"/>
      <c r="I211" s="48"/>
      <c r="J211" s="47"/>
      <c r="K211" s="47"/>
      <c r="L211" s="47"/>
      <c r="M211" s="49"/>
      <c r="N211" s="47"/>
      <c r="Q211" s="50"/>
      <c r="R211" s="50"/>
    </row>
    <row r="212" spans="1:25" ht="15.75" hidden="1" thickBot="1">
      <c r="A212" s="145" t="s">
        <v>405</v>
      </c>
      <c r="B212" s="16" t="b">
        <v>0</v>
      </c>
      <c r="E212" s="51"/>
      <c r="F212" s="48" t="s">
        <v>406</v>
      </c>
      <c r="G212" s="48"/>
      <c r="H212" s="48"/>
      <c r="I212" s="48"/>
      <c r="J212" s="47"/>
      <c r="K212" s="47"/>
      <c r="L212" s="47"/>
      <c r="M212" s="47"/>
      <c r="N212" s="47"/>
    </row>
    <row r="213" spans="1:25" ht="15.75" hidden="1" thickBot="1">
      <c r="A213" s="52" t="s">
        <v>407</v>
      </c>
      <c r="E213" s="53"/>
      <c r="F213" s="48"/>
      <c r="G213" s="48"/>
      <c r="H213" s="48"/>
      <c r="I213" s="48"/>
      <c r="J213" s="47"/>
      <c r="K213" s="47"/>
      <c r="L213" s="47"/>
      <c r="M213" s="47"/>
      <c r="N213" s="47"/>
    </row>
    <row r="214" spans="1:25" hidden="1">
      <c r="A214" s="105" t="s">
        <v>408</v>
      </c>
      <c r="B214" s="106" t="e">
        <f>IF(#REF! &lt;1500,#REF!,0)</f>
        <v>#REF!</v>
      </c>
      <c r="C214" s="105"/>
      <c r="D214" s="112"/>
      <c r="E214" s="113"/>
      <c r="F214" s="114"/>
      <c r="G214" s="114"/>
      <c r="H214" s="114"/>
      <c r="I214" s="115"/>
      <c r="J214" s="47"/>
      <c r="K214" s="47"/>
      <c r="L214" s="47"/>
      <c r="M214" s="47"/>
      <c r="N214" s="47"/>
      <c r="U214" s="36" t="s">
        <v>294</v>
      </c>
    </row>
    <row r="215" spans="1:25" hidden="1">
      <c r="A215" s="107" t="s">
        <v>409</v>
      </c>
      <c r="B215" s="108" t="e">
        <f>IF(#REF! &lt;1500,#REF!,0)</f>
        <v>#REF!</v>
      </c>
      <c r="C215" s="107"/>
      <c r="D215" s="44"/>
      <c r="E215" s="102"/>
      <c r="F215" s="103"/>
      <c r="G215" s="103"/>
      <c r="H215" s="103"/>
      <c r="I215" s="116"/>
      <c r="J215" s="47"/>
      <c r="K215" s="47"/>
      <c r="L215" s="47"/>
      <c r="M215" s="47"/>
      <c r="N215" s="47"/>
      <c r="U215" s="36" t="s">
        <v>294</v>
      </c>
    </row>
    <row r="216" spans="1:25" hidden="1">
      <c r="A216" s="107" t="s">
        <v>410</v>
      </c>
      <c r="B216" s="108" t="e">
        <f>IF(#REF! &lt;1500,#REF!,0)</f>
        <v>#REF!</v>
      </c>
      <c r="C216" s="107"/>
      <c r="D216" s="44"/>
      <c r="E216" s="102"/>
      <c r="F216" s="103"/>
      <c r="G216" s="103"/>
      <c r="H216" s="103"/>
      <c r="I216" s="116"/>
      <c r="J216" s="47"/>
      <c r="K216" s="47"/>
      <c r="L216" s="47"/>
      <c r="M216" s="47"/>
      <c r="N216" s="47"/>
      <c r="U216" s="36" t="s">
        <v>294</v>
      </c>
    </row>
    <row r="217" spans="1:25" hidden="1">
      <c r="A217" s="107" t="s">
        <v>411</v>
      </c>
      <c r="B217" s="108" t="e">
        <f>IF(#REF! &lt;1500,#REF!,0)</f>
        <v>#REF!</v>
      </c>
      <c r="C217" s="107"/>
      <c r="D217" s="44"/>
      <c r="E217" s="102"/>
      <c r="F217" s="103"/>
      <c r="G217" s="103"/>
      <c r="H217" s="103"/>
      <c r="I217" s="116"/>
      <c r="J217" s="47"/>
      <c r="K217" s="47"/>
      <c r="L217" s="47"/>
      <c r="M217" s="47"/>
      <c r="N217" s="47"/>
      <c r="U217" s="36" t="s">
        <v>294</v>
      </c>
    </row>
    <row r="218" spans="1:25" hidden="1">
      <c r="A218" s="107" t="s">
        <v>412</v>
      </c>
      <c r="B218" s="108" t="e">
        <f>IF(#REF! &lt;1500,#REF!,0)</f>
        <v>#REF!</v>
      </c>
      <c r="C218" s="107"/>
      <c r="D218" s="44"/>
      <c r="E218" s="102"/>
      <c r="F218" s="103"/>
      <c r="G218" s="103"/>
      <c r="H218" s="103"/>
      <c r="I218" s="116"/>
      <c r="J218" s="47"/>
      <c r="K218" s="47"/>
      <c r="L218" s="47"/>
      <c r="M218" s="47"/>
      <c r="N218" s="47"/>
      <c r="U218" s="36" t="s">
        <v>294</v>
      </c>
    </row>
    <row r="219" spans="1:25" hidden="1">
      <c r="A219" s="107" t="s">
        <v>413</v>
      </c>
      <c r="B219" s="108" t="e">
        <f>IF(#REF! &lt;1500,#REF!,0)</f>
        <v>#REF!</v>
      </c>
      <c r="C219" s="107"/>
      <c r="D219" s="44"/>
      <c r="E219" s="102"/>
      <c r="F219" s="103"/>
      <c r="G219" s="103"/>
      <c r="H219" s="103"/>
      <c r="I219" s="116"/>
      <c r="J219" s="47"/>
      <c r="K219" s="47"/>
      <c r="L219" s="47"/>
      <c r="M219" s="47"/>
      <c r="N219" s="47"/>
      <c r="U219" s="36" t="s">
        <v>294</v>
      </c>
    </row>
    <row r="220" spans="1:25" ht="15.75" hidden="1" thickBot="1">
      <c r="A220" s="107" t="s">
        <v>414</v>
      </c>
      <c r="B220" s="108" t="e">
        <f>IF(#REF! &lt;1500,#REF!,0)</f>
        <v>#REF!</v>
      </c>
      <c r="C220" s="117"/>
      <c r="D220" s="118"/>
      <c r="E220" s="119"/>
      <c r="F220" s="120"/>
      <c r="G220" s="120"/>
      <c r="H220" s="120"/>
      <c r="I220" s="121"/>
      <c r="J220" s="47"/>
      <c r="K220" s="47"/>
      <c r="L220" s="47"/>
      <c r="M220" s="47"/>
      <c r="N220" s="47"/>
      <c r="U220" s="36" t="s">
        <v>294</v>
      </c>
    </row>
    <row r="221" spans="1:25" ht="15.75" hidden="1" thickBot="1">
      <c r="A221" s="109" t="s">
        <v>415</v>
      </c>
      <c r="B221" s="108" t="e">
        <f>SUM(B214:B220)</f>
        <v>#REF!</v>
      </c>
      <c r="C221" s="54" t="s">
        <v>416</v>
      </c>
      <c r="D221" s="55"/>
      <c r="E221" s="56"/>
      <c r="F221" s="57"/>
      <c r="G221" s="57"/>
      <c r="H221" s="57"/>
      <c r="I221" s="58"/>
      <c r="J221" s="59"/>
      <c r="K221" s="59"/>
      <c r="L221" s="60"/>
      <c r="M221" s="59"/>
      <c r="N221" s="60"/>
      <c r="U221" s="36" t="s">
        <v>294</v>
      </c>
    </row>
    <row r="222" spans="1:25" ht="15.75" hidden="1" thickBot="1">
      <c r="A222" s="107" t="s">
        <v>417</v>
      </c>
      <c r="B222" s="108" t="e">
        <f>IF(#REF! &lt;300,#REF!, 0)</f>
        <v>#REF!</v>
      </c>
      <c r="C222" s="61" t="s">
        <v>418</v>
      </c>
      <c r="D222" s="62"/>
      <c r="E222" s="63"/>
      <c r="F222" s="64"/>
      <c r="G222" s="64"/>
      <c r="H222" s="64"/>
      <c r="I222" s="64"/>
      <c r="J222" s="65"/>
      <c r="K222" s="65"/>
      <c r="L222" s="65"/>
      <c r="M222" s="65"/>
      <c r="N222" s="66"/>
      <c r="U222" s="36" t="s">
        <v>294</v>
      </c>
    </row>
    <row r="223" spans="1:25" ht="15.75" hidden="1" thickBot="1">
      <c r="A223" s="110" t="s">
        <v>419</v>
      </c>
      <c r="B223" s="111" t="e">
        <f xml:space="preserve"> IF(#REF! &gt;=1500, +IF(#REF! &gt; 0,#REF!-((Pkge!S210/#REF!)*#REF!),0),#REF!)</f>
        <v>#REF!</v>
      </c>
      <c r="C223" s="61" t="s">
        <v>420</v>
      </c>
      <c r="D223" s="62"/>
      <c r="E223" s="63"/>
      <c r="F223" s="64"/>
      <c r="G223" s="64"/>
      <c r="H223" s="67"/>
      <c r="I223" s="64"/>
      <c r="J223" s="65"/>
      <c r="K223" s="65"/>
      <c r="L223" s="65"/>
      <c r="M223" s="65"/>
      <c r="N223" s="66"/>
      <c r="U223" s="36" t="s">
        <v>294</v>
      </c>
    </row>
    <row r="224" spans="1:25" hidden="1">
      <c r="A224" s="145" t="s">
        <v>405</v>
      </c>
      <c r="B224" s="104"/>
      <c r="U224" s="36" t="s">
        <v>294</v>
      </c>
    </row>
    <row r="225" spans="1:25" hidden="1">
      <c r="A225" s="101" t="s">
        <v>421</v>
      </c>
      <c r="B225" s="101" t="b">
        <v>1</v>
      </c>
      <c r="U225" s="36" t="s">
        <v>294</v>
      </c>
    </row>
    <row r="226" spans="1:25" hidden="1">
      <c r="A226" s="101" t="s">
        <v>422</v>
      </c>
      <c r="B226" s="101" t="b">
        <v>0</v>
      </c>
      <c r="U226" s="36" t="s">
        <v>294</v>
      </c>
    </row>
    <row r="227" spans="1:25" hidden="1">
      <c r="A227" s="44"/>
      <c r="B227" s="99" t="s">
        <v>12</v>
      </c>
      <c r="C227" s="99" t="s">
        <v>13</v>
      </c>
      <c r="U227" s="36" t="s">
        <v>294</v>
      </c>
    </row>
    <row r="228" spans="1:25" hidden="1">
      <c r="A228" s="44" t="s">
        <v>423</v>
      </c>
      <c r="B228" s="100">
        <f>SUM(L94:L100)</f>
        <v>0</v>
      </c>
      <c r="C228" s="44">
        <f>SUM(J94:J100)</f>
        <v>0</v>
      </c>
      <c r="U228" s="36" t="s">
        <v>294</v>
      </c>
    </row>
    <row r="229" spans="1:25" hidden="1">
      <c r="A229" s="44" t="s">
        <v>424</v>
      </c>
      <c r="B229" s="100">
        <f>+L94+L95+L96+L97</f>
        <v>0</v>
      </c>
      <c r="C229" s="44">
        <f>+J94+J95+J96+J97</f>
        <v>0</v>
      </c>
      <c r="U229" s="36" t="s">
        <v>294</v>
      </c>
    </row>
    <row r="230" spans="1:25" hidden="1">
      <c r="A230" s="44" t="s">
        <v>425</v>
      </c>
      <c r="B230" s="100">
        <f>+L101+L102</f>
        <v>0</v>
      </c>
      <c r="C230" s="44">
        <f>+J101+J102</f>
        <v>0</v>
      </c>
      <c r="U230" s="36" t="s">
        <v>294</v>
      </c>
    </row>
    <row r="231" spans="1:25" hidden="1">
      <c r="A231" s="44" t="s">
        <v>426</v>
      </c>
      <c r="B231" s="100">
        <f>+L101</f>
        <v>0</v>
      </c>
      <c r="C231" s="44">
        <f>+J101</f>
        <v>0</v>
      </c>
      <c r="U231" s="36" t="s">
        <v>294</v>
      </c>
    </row>
    <row r="232" spans="1:25" hidden="1">
      <c r="A232" s="44" t="s">
        <v>427</v>
      </c>
      <c r="B232" s="100">
        <f>+L103+L104+L105+L106</f>
        <v>0</v>
      </c>
      <c r="C232" s="44">
        <f>+J103+J104+J105+J106</f>
        <v>0</v>
      </c>
      <c r="U232" s="36" t="s">
        <v>294</v>
      </c>
    </row>
    <row r="233" spans="1:25" hidden="1">
      <c r="A233" s="44" t="s">
        <v>428</v>
      </c>
      <c r="B233" s="100">
        <f>+L103+L104</f>
        <v>0</v>
      </c>
      <c r="C233" s="44">
        <f>+J103+J104</f>
        <v>0</v>
      </c>
      <c r="U233" s="36" t="s">
        <v>294</v>
      </c>
    </row>
    <row r="234" spans="1:25" hidden="1">
      <c r="U234" s="36" t="s">
        <v>294</v>
      </c>
    </row>
    <row r="235" spans="1:25" hidden="1">
      <c r="A235" s="129" t="s">
        <v>429</v>
      </c>
      <c r="U235" s="36" t="s">
        <v>294</v>
      </c>
    </row>
    <row r="236" spans="1:25" hidden="1">
      <c r="A236" s="129" t="s">
        <v>430</v>
      </c>
      <c r="U236" s="36" t="s">
        <v>294</v>
      </c>
    </row>
    <row r="237" spans="1:25" hidden="1">
      <c r="A237" s="143" t="e">
        <f>+Purchases!#REF!</f>
        <v>#REF!</v>
      </c>
      <c r="B237" s="131"/>
      <c r="C237" s="132">
        <f>IF(ISERROR(+Purchases!#REF!),0, +Purchases!#REF!)</f>
        <v>0</v>
      </c>
      <c r="D237" s="133" t="s">
        <v>108</v>
      </c>
      <c r="E237" s="134">
        <f>IF(ISERROR(+Purchases!#REF!),0, +Purchases!#REF!)</f>
        <v>0</v>
      </c>
      <c r="F237" s="130">
        <v>1</v>
      </c>
      <c r="G237" s="135">
        <f>IF(C237 &gt;0, ROUND(IF(B$3 =1, H237*C237, H237/C237),2),0)</f>
        <v>0</v>
      </c>
      <c r="H237" s="136" t="e">
        <f>+Purchases!#REF!</f>
        <v>#REF!</v>
      </c>
      <c r="I237" s="137">
        <f>IF(B$3 = 1, H237*E237,IF(C237 &gt;0,  (H237/C237) *E237,0))</f>
        <v>0</v>
      </c>
      <c r="J237" s="138">
        <f>ROUND(IF($B$3 =1, H237*F237, IF(C237&gt;0,  (H237/C237) *F237,0)),2)</f>
        <v>0</v>
      </c>
      <c r="K237" s="130"/>
      <c r="L237" s="136" t="e">
        <f t="shared" ref="L237" si="88">IF( $B$3 = 1,  G237,H237 )</f>
        <v>#REF!</v>
      </c>
      <c r="M237" s="139">
        <f t="shared" ref="M237" si="89">+I237</f>
        <v>0</v>
      </c>
      <c r="N237" s="140">
        <f t="shared" ref="N237" si="90">+J237</f>
        <v>0</v>
      </c>
      <c r="O237" s="133" t="e">
        <f>+A237</f>
        <v>#REF!</v>
      </c>
      <c r="P237" s="141">
        <v>44030</v>
      </c>
      <c r="Q237" s="142"/>
      <c r="R237" s="142"/>
      <c r="S237" s="349"/>
      <c r="U237" s="36" t="s">
        <v>294</v>
      </c>
      <c r="V237" s="16" t="s">
        <v>104</v>
      </c>
      <c r="Y237" s="147" t="s">
        <v>284</v>
      </c>
    </row>
    <row r="238" spans="1:25" hidden="1">
      <c r="A238" s="143" t="e">
        <f>+Purchases!#REF!</f>
        <v>#REF!</v>
      </c>
      <c r="B238" s="131"/>
      <c r="C238" s="132">
        <f>IF(ISERROR(+Purchases!#REF!),0, +Purchases!#REF!)</f>
        <v>0</v>
      </c>
      <c r="D238" s="133" t="s">
        <v>108</v>
      </c>
      <c r="E238" s="134">
        <f>IF(ISERROR(+Purchases!#REF!),0, +Purchases!#REF!)</f>
        <v>0</v>
      </c>
      <c r="F238" s="130">
        <v>1</v>
      </c>
      <c r="G238" s="135">
        <f t="shared" ref="G238:G256" si="91">IF(C238 &gt;0, ROUND(IF(B$3 =1, H238*C238, H238/C238),2),0)</f>
        <v>0</v>
      </c>
      <c r="H238" s="136" t="e">
        <f>+Purchases!#REF!</f>
        <v>#REF!</v>
      </c>
      <c r="I238" s="137">
        <f t="shared" ref="I238:I256" si="92">IF(B$3 = 1, H238*E238,IF(C238 &gt;0,  (H238/C238) *E238,0))</f>
        <v>0</v>
      </c>
      <c r="J238" s="138">
        <f t="shared" ref="J238:J256" si="93">ROUND(IF($B$3 =1, H238*F238, IF(C238&gt;0,  (H238/C238) *F238,0)),2)</f>
        <v>0</v>
      </c>
      <c r="K238" s="130"/>
      <c r="L238" s="136" t="e">
        <f t="shared" ref="L238:L248" si="94">IF( $B$3 = 1,  G238,H238 )</f>
        <v>#REF!</v>
      </c>
      <c r="M238" s="139">
        <f t="shared" ref="M238:M248" si="95">+I238</f>
        <v>0</v>
      </c>
      <c r="N238" s="140">
        <f t="shared" ref="N238:N248" si="96">+J238</f>
        <v>0</v>
      </c>
      <c r="O238" s="133" t="e">
        <f t="shared" ref="O238:O256" si="97">+A238</f>
        <v>#REF!</v>
      </c>
      <c r="P238" s="141">
        <v>44030</v>
      </c>
      <c r="Q238" s="142"/>
      <c r="R238" s="142"/>
      <c r="S238" s="349"/>
      <c r="U238" s="36" t="s">
        <v>294</v>
      </c>
      <c r="V238" s="16" t="s">
        <v>104</v>
      </c>
      <c r="Y238" s="147" t="s">
        <v>284</v>
      </c>
    </row>
    <row r="239" spans="1:25" hidden="1">
      <c r="A239" s="143" t="e">
        <f>+Purchases!#REF!</f>
        <v>#REF!</v>
      </c>
      <c r="B239" s="131"/>
      <c r="C239" s="132">
        <f>IF(ISERROR(+Purchases!#REF!),0, +Purchases!#REF!)</f>
        <v>0</v>
      </c>
      <c r="D239" s="133" t="s">
        <v>108</v>
      </c>
      <c r="E239" s="134">
        <f>IF(ISERROR(+Purchases!#REF!),0, +Purchases!#REF!)</f>
        <v>0</v>
      </c>
      <c r="F239" s="130">
        <v>1</v>
      </c>
      <c r="G239" s="135">
        <f t="shared" si="91"/>
        <v>0</v>
      </c>
      <c r="H239" s="136" t="e">
        <f>+Purchases!#REF!</f>
        <v>#REF!</v>
      </c>
      <c r="I239" s="137">
        <f t="shared" si="92"/>
        <v>0</v>
      </c>
      <c r="J239" s="138">
        <f t="shared" si="93"/>
        <v>0</v>
      </c>
      <c r="K239" s="130"/>
      <c r="L239" s="136" t="e">
        <f t="shared" si="94"/>
        <v>#REF!</v>
      </c>
      <c r="M239" s="139">
        <f t="shared" si="95"/>
        <v>0</v>
      </c>
      <c r="N239" s="140">
        <f t="shared" si="96"/>
        <v>0</v>
      </c>
      <c r="O239" s="133" t="e">
        <f t="shared" si="97"/>
        <v>#REF!</v>
      </c>
      <c r="P239" s="141">
        <v>44030</v>
      </c>
      <c r="Q239" s="142"/>
      <c r="R239" s="142"/>
      <c r="S239" s="349"/>
      <c r="U239" s="36" t="s">
        <v>294</v>
      </c>
      <c r="V239" s="16" t="s">
        <v>104</v>
      </c>
      <c r="Y239" s="147" t="s">
        <v>284</v>
      </c>
    </row>
    <row r="240" spans="1:25" hidden="1">
      <c r="A240" s="143" t="e">
        <f>+Purchases!#REF!</f>
        <v>#REF!</v>
      </c>
      <c r="B240" s="131"/>
      <c r="C240" s="132">
        <f>IF(ISERROR(+Purchases!#REF!),0, +Purchases!#REF!)</f>
        <v>0</v>
      </c>
      <c r="D240" s="133" t="s">
        <v>108</v>
      </c>
      <c r="E240" s="134">
        <f>IF(ISERROR(+Purchases!#REF!),0, +Purchases!#REF!)</f>
        <v>0</v>
      </c>
      <c r="F240" s="130">
        <v>1</v>
      </c>
      <c r="G240" s="135">
        <f t="shared" si="91"/>
        <v>0</v>
      </c>
      <c r="H240" s="136" t="e">
        <f>+Purchases!#REF!</f>
        <v>#REF!</v>
      </c>
      <c r="I240" s="137">
        <f t="shared" si="92"/>
        <v>0</v>
      </c>
      <c r="J240" s="138">
        <f t="shared" si="93"/>
        <v>0</v>
      </c>
      <c r="K240" s="130"/>
      <c r="L240" s="136" t="e">
        <f t="shared" si="94"/>
        <v>#REF!</v>
      </c>
      <c r="M240" s="139">
        <f t="shared" si="95"/>
        <v>0</v>
      </c>
      <c r="N240" s="140">
        <f t="shared" si="96"/>
        <v>0</v>
      </c>
      <c r="O240" s="133" t="e">
        <f t="shared" si="97"/>
        <v>#REF!</v>
      </c>
      <c r="P240" s="141">
        <v>44030</v>
      </c>
      <c r="Q240" s="142"/>
      <c r="R240" s="142"/>
      <c r="S240" s="349"/>
      <c r="U240" s="36" t="s">
        <v>294</v>
      </c>
      <c r="V240" s="16" t="s">
        <v>104</v>
      </c>
      <c r="Y240" s="147" t="s">
        <v>284</v>
      </c>
    </row>
    <row r="241" spans="1:25" hidden="1">
      <c r="A241" s="143" t="e">
        <f>+Purchases!#REF!</f>
        <v>#REF!</v>
      </c>
      <c r="B241" s="131"/>
      <c r="C241" s="132">
        <f>IF(ISERROR(+Purchases!#REF!),0, +Purchases!#REF!)</f>
        <v>0</v>
      </c>
      <c r="D241" s="133" t="s">
        <v>108</v>
      </c>
      <c r="E241" s="134">
        <f>IF(ISERROR(+Purchases!#REF!),0, +Purchases!#REF!)</f>
        <v>0</v>
      </c>
      <c r="F241" s="130">
        <v>1</v>
      </c>
      <c r="G241" s="135">
        <f t="shared" si="91"/>
        <v>0</v>
      </c>
      <c r="H241" s="136" t="e">
        <f>+Purchases!#REF!</f>
        <v>#REF!</v>
      </c>
      <c r="I241" s="137">
        <f t="shared" si="92"/>
        <v>0</v>
      </c>
      <c r="J241" s="138">
        <f t="shared" si="93"/>
        <v>0</v>
      </c>
      <c r="K241" s="130"/>
      <c r="L241" s="136" t="e">
        <f t="shared" si="94"/>
        <v>#REF!</v>
      </c>
      <c r="M241" s="139">
        <f t="shared" si="95"/>
        <v>0</v>
      </c>
      <c r="N241" s="140">
        <f t="shared" si="96"/>
        <v>0</v>
      </c>
      <c r="O241" s="133" t="e">
        <f t="shared" si="97"/>
        <v>#REF!</v>
      </c>
      <c r="P241" s="141">
        <v>44030</v>
      </c>
      <c r="Q241" s="142"/>
      <c r="R241" s="142"/>
      <c r="S241" s="349"/>
      <c r="U241" s="36" t="s">
        <v>294</v>
      </c>
      <c r="V241" s="16" t="s">
        <v>104</v>
      </c>
      <c r="Y241" s="147" t="s">
        <v>284</v>
      </c>
    </row>
    <row r="242" spans="1:25" hidden="1">
      <c r="A242" s="143" t="e">
        <f>+Purchases!#REF!</f>
        <v>#REF!</v>
      </c>
      <c r="B242" s="131"/>
      <c r="C242" s="132">
        <f>IF(ISERROR(+Purchases!#REF!),0, +Purchases!#REF!)</f>
        <v>0</v>
      </c>
      <c r="D242" s="133" t="s">
        <v>108</v>
      </c>
      <c r="E242" s="134">
        <f>IF(ISERROR(+Purchases!#REF!),0, +Purchases!#REF!)</f>
        <v>0</v>
      </c>
      <c r="F242" s="130">
        <v>1</v>
      </c>
      <c r="G242" s="135">
        <f t="shared" si="91"/>
        <v>0</v>
      </c>
      <c r="H242" s="136" t="e">
        <f>+Purchases!#REF!</f>
        <v>#REF!</v>
      </c>
      <c r="I242" s="137">
        <f t="shared" si="92"/>
        <v>0</v>
      </c>
      <c r="J242" s="138">
        <f t="shared" si="93"/>
        <v>0</v>
      </c>
      <c r="K242" s="130"/>
      <c r="L242" s="136" t="e">
        <f t="shared" si="94"/>
        <v>#REF!</v>
      </c>
      <c r="M242" s="139">
        <f t="shared" si="95"/>
        <v>0</v>
      </c>
      <c r="N242" s="140">
        <f t="shared" si="96"/>
        <v>0</v>
      </c>
      <c r="O242" s="133" t="e">
        <f t="shared" si="97"/>
        <v>#REF!</v>
      </c>
      <c r="P242" s="141">
        <v>44030</v>
      </c>
      <c r="Q242" s="142"/>
      <c r="R242" s="142"/>
      <c r="S242" s="349"/>
      <c r="U242" s="36" t="s">
        <v>294</v>
      </c>
      <c r="V242" s="16" t="s">
        <v>104</v>
      </c>
      <c r="Y242" s="147" t="s">
        <v>284</v>
      </c>
    </row>
    <row r="243" spans="1:25" hidden="1">
      <c r="A243" s="143" t="e">
        <f>+Purchases!#REF!</f>
        <v>#REF!</v>
      </c>
      <c r="B243" s="131"/>
      <c r="C243" s="132">
        <f>IF(ISERROR(+Purchases!#REF!),0, +Purchases!#REF!)</f>
        <v>0</v>
      </c>
      <c r="D243" s="133" t="s">
        <v>108</v>
      </c>
      <c r="E243" s="134">
        <f>IF(ISERROR(+Purchases!#REF!),0, +Purchases!#REF!)</f>
        <v>0</v>
      </c>
      <c r="F243" s="130">
        <v>1</v>
      </c>
      <c r="G243" s="135">
        <f t="shared" si="91"/>
        <v>0</v>
      </c>
      <c r="H243" s="136" t="e">
        <f>+Purchases!#REF!</f>
        <v>#REF!</v>
      </c>
      <c r="I243" s="137">
        <f t="shared" si="92"/>
        <v>0</v>
      </c>
      <c r="J243" s="138">
        <f t="shared" si="93"/>
        <v>0</v>
      </c>
      <c r="K243" s="130"/>
      <c r="L243" s="136" t="e">
        <f t="shared" si="94"/>
        <v>#REF!</v>
      </c>
      <c r="M243" s="139">
        <f t="shared" si="95"/>
        <v>0</v>
      </c>
      <c r="N243" s="140">
        <f t="shared" si="96"/>
        <v>0</v>
      </c>
      <c r="O243" s="133" t="e">
        <f t="shared" si="97"/>
        <v>#REF!</v>
      </c>
      <c r="P243" s="141">
        <v>44030</v>
      </c>
      <c r="Q243" s="142"/>
      <c r="R243" s="142"/>
      <c r="S243" s="349"/>
      <c r="U243" s="36" t="s">
        <v>294</v>
      </c>
      <c r="V243" s="16" t="s">
        <v>104</v>
      </c>
      <c r="Y243" s="147" t="s">
        <v>284</v>
      </c>
    </row>
    <row r="244" spans="1:25" hidden="1">
      <c r="A244" s="143" t="e">
        <f>+Purchases!#REF!</f>
        <v>#REF!</v>
      </c>
      <c r="B244" s="131"/>
      <c r="C244" s="132">
        <f>IF(ISERROR(+Purchases!#REF!),0, +Purchases!#REF!)</f>
        <v>0</v>
      </c>
      <c r="D244" s="133" t="s">
        <v>108</v>
      </c>
      <c r="E244" s="134">
        <f>IF(ISERROR(+Purchases!#REF!),0, +Purchases!#REF!)</f>
        <v>0</v>
      </c>
      <c r="F244" s="130">
        <v>1</v>
      </c>
      <c r="G244" s="135">
        <f t="shared" si="91"/>
        <v>0</v>
      </c>
      <c r="H244" s="136" t="e">
        <f>+Purchases!#REF!</f>
        <v>#REF!</v>
      </c>
      <c r="I244" s="137">
        <f t="shared" si="92"/>
        <v>0</v>
      </c>
      <c r="J244" s="138">
        <f t="shared" si="93"/>
        <v>0</v>
      </c>
      <c r="K244" s="130"/>
      <c r="L244" s="136" t="e">
        <f t="shared" si="94"/>
        <v>#REF!</v>
      </c>
      <c r="M244" s="139">
        <f t="shared" si="95"/>
        <v>0</v>
      </c>
      <c r="N244" s="140">
        <f t="shared" si="96"/>
        <v>0</v>
      </c>
      <c r="O244" s="133" t="e">
        <f t="shared" si="97"/>
        <v>#REF!</v>
      </c>
      <c r="P244" s="141">
        <v>44030</v>
      </c>
      <c r="Q244" s="142"/>
      <c r="R244" s="142"/>
      <c r="S244" s="349"/>
      <c r="U244" s="36" t="s">
        <v>294</v>
      </c>
      <c r="V244" s="16" t="s">
        <v>104</v>
      </c>
      <c r="Y244" s="147" t="s">
        <v>284</v>
      </c>
    </row>
    <row r="245" spans="1:25" hidden="1">
      <c r="A245" s="143" t="e">
        <f>+Purchases!#REF!</f>
        <v>#REF!</v>
      </c>
      <c r="B245" s="131"/>
      <c r="C245" s="132">
        <f>IF(ISERROR(+Purchases!#REF!),0, +Purchases!#REF!)</f>
        <v>0</v>
      </c>
      <c r="D245" s="133" t="s">
        <v>108</v>
      </c>
      <c r="E245" s="134">
        <f>IF(ISERROR(+Purchases!#REF!),0, +Purchases!#REF!)</f>
        <v>0</v>
      </c>
      <c r="F245" s="130">
        <v>1</v>
      </c>
      <c r="G245" s="135">
        <f t="shared" si="91"/>
        <v>0</v>
      </c>
      <c r="H245" s="136" t="e">
        <f>+Purchases!#REF!</f>
        <v>#REF!</v>
      </c>
      <c r="I245" s="137">
        <f t="shared" si="92"/>
        <v>0</v>
      </c>
      <c r="J245" s="138">
        <f t="shared" si="93"/>
        <v>0</v>
      </c>
      <c r="K245" s="130"/>
      <c r="L245" s="136" t="e">
        <f t="shared" si="94"/>
        <v>#REF!</v>
      </c>
      <c r="M245" s="139">
        <f t="shared" si="95"/>
        <v>0</v>
      </c>
      <c r="N245" s="140">
        <f t="shared" si="96"/>
        <v>0</v>
      </c>
      <c r="O245" s="133" t="e">
        <f t="shared" si="97"/>
        <v>#REF!</v>
      </c>
      <c r="P245" s="141">
        <v>44030</v>
      </c>
      <c r="Q245" s="142"/>
      <c r="R245" s="142"/>
      <c r="S245" s="349"/>
      <c r="U245" s="36" t="s">
        <v>294</v>
      </c>
      <c r="V245" s="16" t="s">
        <v>104</v>
      </c>
      <c r="Y245" s="147" t="s">
        <v>284</v>
      </c>
    </row>
    <row r="246" spans="1:25" hidden="1">
      <c r="A246" s="143" t="e">
        <f>+Purchases!#REF!</f>
        <v>#REF!</v>
      </c>
      <c r="B246" s="131"/>
      <c r="C246" s="132">
        <f>IF(ISERROR(+Purchases!#REF!),0, +Purchases!#REF!)</f>
        <v>0</v>
      </c>
      <c r="D246" s="133" t="s">
        <v>108</v>
      </c>
      <c r="E246" s="134">
        <f>IF(ISERROR(+Purchases!#REF!),0, +Purchases!#REF!)</f>
        <v>0</v>
      </c>
      <c r="F246" s="130">
        <v>1</v>
      </c>
      <c r="G246" s="135">
        <f t="shared" si="91"/>
        <v>0</v>
      </c>
      <c r="H246" s="136" t="e">
        <f>+Purchases!#REF!</f>
        <v>#REF!</v>
      </c>
      <c r="I246" s="137">
        <f t="shared" si="92"/>
        <v>0</v>
      </c>
      <c r="J246" s="138">
        <f t="shared" si="93"/>
        <v>0</v>
      </c>
      <c r="K246" s="130"/>
      <c r="L246" s="136" t="e">
        <f t="shared" si="94"/>
        <v>#REF!</v>
      </c>
      <c r="M246" s="139">
        <f t="shared" si="95"/>
        <v>0</v>
      </c>
      <c r="N246" s="140">
        <f t="shared" si="96"/>
        <v>0</v>
      </c>
      <c r="O246" s="133" t="e">
        <f t="shared" si="97"/>
        <v>#REF!</v>
      </c>
      <c r="P246" s="141">
        <v>44030</v>
      </c>
      <c r="Q246" s="142"/>
      <c r="R246" s="142"/>
      <c r="S246" s="349"/>
      <c r="U246" s="36" t="s">
        <v>294</v>
      </c>
      <c r="V246" s="16" t="s">
        <v>104</v>
      </c>
      <c r="Y246" s="147" t="s">
        <v>284</v>
      </c>
    </row>
    <row r="247" spans="1:25" hidden="1">
      <c r="A247" s="143" t="e">
        <f>+Purchases!#REF!</f>
        <v>#REF!</v>
      </c>
      <c r="B247" s="131"/>
      <c r="C247" s="132">
        <f>IF(ISERROR(+Purchases!#REF!),0, +Purchases!#REF!)</f>
        <v>0</v>
      </c>
      <c r="D247" s="133" t="s">
        <v>108</v>
      </c>
      <c r="E247" s="134">
        <f>IF(ISERROR(+Purchases!#REF!),0, +Purchases!#REF!)</f>
        <v>0</v>
      </c>
      <c r="F247" s="130">
        <v>1</v>
      </c>
      <c r="G247" s="135">
        <f t="shared" si="91"/>
        <v>0</v>
      </c>
      <c r="H247" s="136" t="e">
        <f>+Purchases!#REF!</f>
        <v>#REF!</v>
      </c>
      <c r="I247" s="137">
        <f t="shared" si="92"/>
        <v>0</v>
      </c>
      <c r="J247" s="138">
        <f t="shared" si="93"/>
        <v>0</v>
      </c>
      <c r="K247" s="130"/>
      <c r="L247" s="136" t="e">
        <f t="shared" si="94"/>
        <v>#REF!</v>
      </c>
      <c r="M247" s="139">
        <f t="shared" si="95"/>
        <v>0</v>
      </c>
      <c r="N247" s="140">
        <f t="shared" si="96"/>
        <v>0</v>
      </c>
      <c r="O247" s="133" t="e">
        <f t="shared" si="97"/>
        <v>#REF!</v>
      </c>
      <c r="P247" s="141">
        <v>44030</v>
      </c>
      <c r="Q247" s="142"/>
      <c r="R247" s="142"/>
      <c r="S247" s="349"/>
      <c r="U247" s="36" t="s">
        <v>294</v>
      </c>
      <c r="V247" s="16" t="s">
        <v>104</v>
      </c>
      <c r="Y247" s="147" t="s">
        <v>284</v>
      </c>
    </row>
    <row r="248" spans="1:25" hidden="1">
      <c r="A248" s="143" t="e">
        <f>+Purchases!#REF!</f>
        <v>#REF!</v>
      </c>
      <c r="B248" s="131"/>
      <c r="C248" s="132">
        <f>IF(ISERROR(+Purchases!#REF!),0, +Purchases!#REF!)</f>
        <v>0</v>
      </c>
      <c r="D248" s="133" t="s">
        <v>108</v>
      </c>
      <c r="E248" s="134">
        <f>IF(ISERROR(+Purchases!#REF!),0, +Purchases!#REF!)</f>
        <v>0</v>
      </c>
      <c r="F248" s="130">
        <v>1</v>
      </c>
      <c r="G248" s="135">
        <f t="shared" si="91"/>
        <v>0</v>
      </c>
      <c r="H248" s="136" t="e">
        <f>+Purchases!#REF!</f>
        <v>#REF!</v>
      </c>
      <c r="I248" s="137">
        <f t="shared" si="92"/>
        <v>0</v>
      </c>
      <c r="J248" s="138">
        <f t="shared" si="93"/>
        <v>0</v>
      </c>
      <c r="K248" s="130"/>
      <c r="L248" s="136" t="e">
        <f t="shared" si="94"/>
        <v>#REF!</v>
      </c>
      <c r="M248" s="139">
        <f t="shared" si="95"/>
        <v>0</v>
      </c>
      <c r="N248" s="140">
        <f t="shared" si="96"/>
        <v>0</v>
      </c>
      <c r="O248" s="133" t="e">
        <f t="shared" si="97"/>
        <v>#REF!</v>
      </c>
      <c r="P248" s="141">
        <v>44030</v>
      </c>
      <c r="Q248" s="142"/>
      <c r="R248" s="142"/>
      <c r="S248" s="349"/>
      <c r="U248" s="36" t="s">
        <v>294</v>
      </c>
      <c r="V248" s="16" t="s">
        <v>104</v>
      </c>
      <c r="Y248" s="147" t="s">
        <v>284</v>
      </c>
    </row>
    <row r="249" spans="1:25" hidden="1">
      <c r="A249" s="143" t="e">
        <f>+Purchases!#REF!</f>
        <v>#REF!</v>
      </c>
      <c r="B249" s="131"/>
      <c r="C249" s="132">
        <f>IF(ISERROR(+Purchases!#REF!),0, +Purchases!#REF!)</f>
        <v>0</v>
      </c>
      <c r="D249" s="133" t="s">
        <v>108</v>
      </c>
      <c r="E249" s="134">
        <f>IF(ISERROR(+Purchases!#REF!),0, +Purchases!#REF!)</f>
        <v>0</v>
      </c>
      <c r="F249" s="130">
        <v>1</v>
      </c>
      <c r="G249" s="135">
        <f t="shared" si="91"/>
        <v>0</v>
      </c>
      <c r="H249" s="136" t="e">
        <f>+Purchases!#REF!</f>
        <v>#REF!</v>
      </c>
      <c r="I249" s="137">
        <f t="shared" si="92"/>
        <v>0</v>
      </c>
      <c r="J249" s="138">
        <f t="shared" si="93"/>
        <v>0</v>
      </c>
      <c r="K249" s="130"/>
      <c r="L249" s="136" t="e">
        <f t="shared" ref="L249:L256" si="98">IF( $B$3 = 1,  G249,H249 )</f>
        <v>#REF!</v>
      </c>
      <c r="M249" s="139">
        <f t="shared" ref="M249:M256" si="99">+I249</f>
        <v>0</v>
      </c>
      <c r="N249" s="140">
        <f t="shared" ref="N249:N256" si="100">+J249</f>
        <v>0</v>
      </c>
      <c r="O249" s="133" t="e">
        <f t="shared" si="97"/>
        <v>#REF!</v>
      </c>
      <c r="P249" s="141">
        <v>44030</v>
      </c>
      <c r="Q249" s="142"/>
      <c r="R249" s="142"/>
      <c r="S249" s="349"/>
      <c r="U249" s="36" t="s">
        <v>294</v>
      </c>
      <c r="V249" s="16" t="s">
        <v>104</v>
      </c>
      <c r="Y249" s="147" t="s">
        <v>284</v>
      </c>
    </row>
    <row r="250" spans="1:25" hidden="1">
      <c r="A250" s="143" t="e">
        <f>+Purchases!#REF!</f>
        <v>#REF!</v>
      </c>
      <c r="B250" s="131"/>
      <c r="C250" s="132">
        <f>IF(ISERROR(+Purchases!#REF!),0, +Purchases!#REF!)</f>
        <v>0</v>
      </c>
      <c r="D250" s="133" t="s">
        <v>108</v>
      </c>
      <c r="E250" s="134">
        <f>IF(ISERROR(+Purchases!#REF!),0, +Purchases!#REF!)</f>
        <v>0</v>
      </c>
      <c r="F250" s="130">
        <v>1</v>
      </c>
      <c r="G250" s="135">
        <f t="shared" si="91"/>
        <v>0</v>
      </c>
      <c r="H250" s="136" t="e">
        <f>+Purchases!#REF!</f>
        <v>#REF!</v>
      </c>
      <c r="I250" s="137">
        <f t="shared" si="92"/>
        <v>0</v>
      </c>
      <c r="J250" s="138">
        <f t="shared" si="93"/>
        <v>0</v>
      </c>
      <c r="K250" s="130"/>
      <c r="L250" s="136" t="e">
        <f t="shared" si="98"/>
        <v>#REF!</v>
      </c>
      <c r="M250" s="139">
        <f t="shared" si="99"/>
        <v>0</v>
      </c>
      <c r="N250" s="140">
        <f t="shared" si="100"/>
        <v>0</v>
      </c>
      <c r="O250" s="133" t="e">
        <f t="shared" si="97"/>
        <v>#REF!</v>
      </c>
      <c r="P250" s="141">
        <v>44030</v>
      </c>
      <c r="Q250" s="142"/>
      <c r="R250" s="142"/>
      <c r="S250" s="349"/>
      <c r="U250" s="36" t="s">
        <v>294</v>
      </c>
      <c r="V250" s="16" t="s">
        <v>104</v>
      </c>
      <c r="Y250" s="147" t="s">
        <v>284</v>
      </c>
    </row>
    <row r="251" spans="1:25" hidden="1">
      <c r="A251" s="143" t="e">
        <f>+Purchases!#REF!</f>
        <v>#REF!</v>
      </c>
      <c r="B251" s="131"/>
      <c r="C251" s="132">
        <f>IF(ISERROR(+Purchases!#REF!),0, +Purchases!#REF!)</f>
        <v>0</v>
      </c>
      <c r="D251" s="133" t="s">
        <v>108</v>
      </c>
      <c r="E251" s="134">
        <f>IF(ISERROR(+Purchases!#REF!),0, +Purchases!#REF!)</f>
        <v>0</v>
      </c>
      <c r="F251" s="130">
        <v>1</v>
      </c>
      <c r="G251" s="135">
        <f t="shared" si="91"/>
        <v>0</v>
      </c>
      <c r="H251" s="136" t="e">
        <f>+Purchases!#REF!</f>
        <v>#REF!</v>
      </c>
      <c r="I251" s="137">
        <f t="shared" si="92"/>
        <v>0</v>
      </c>
      <c r="J251" s="138">
        <f t="shared" si="93"/>
        <v>0</v>
      </c>
      <c r="K251" s="130"/>
      <c r="L251" s="136" t="e">
        <f t="shared" si="98"/>
        <v>#REF!</v>
      </c>
      <c r="M251" s="139">
        <f t="shared" si="99"/>
        <v>0</v>
      </c>
      <c r="N251" s="140">
        <f t="shared" si="100"/>
        <v>0</v>
      </c>
      <c r="O251" s="133" t="e">
        <f t="shared" si="97"/>
        <v>#REF!</v>
      </c>
      <c r="P251" s="141">
        <v>44030</v>
      </c>
      <c r="Q251" s="142"/>
      <c r="R251" s="142"/>
      <c r="S251" s="349"/>
      <c r="U251" s="36" t="s">
        <v>294</v>
      </c>
      <c r="V251" s="16" t="s">
        <v>104</v>
      </c>
      <c r="Y251" s="147" t="s">
        <v>284</v>
      </c>
    </row>
    <row r="252" spans="1:25" hidden="1">
      <c r="A252" s="143" t="e">
        <f>+Purchases!#REF!</f>
        <v>#REF!</v>
      </c>
      <c r="B252" s="131"/>
      <c r="C252" s="132">
        <f>IF(ISERROR(+Purchases!#REF!),0, +Purchases!#REF!)</f>
        <v>0</v>
      </c>
      <c r="D252" s="133" t="s">
        <v>108</v>
      </c>
      <c r="E252" s="134">
        <f>IF(ISERROR(+Purchases!#REF!),0, +Purchases!#REF!)</f>
        <v>0</v>
      </c>
      <c r="F252" s="130">
        <v>1</v>
      </c>
      <c r="G252" s="135">
        <f t="shared" si="91"/>
        <v>0</v>
      </c>
      <c r="H252" s="136"/>
      <c r="I252" s="137">
        <f t="shared" si="92"/>
        <v>0</v>
      </c>
      <c r="J252" s="138">
        <f t="shared" si="93"/>
        <v>0</v>
      </c>
      <c r="K252" s="130"/>
      <c r="L252" s="136">
        <f t="shared" si="98"/>
        <v>0</v>
      </c>
      <c r="M252" s="139">
        <f t="shared" si="99"/>
        <v>0</v>
      </c>
      <c r="N252" s="140">
        <f t="shared" si="100"/>
        <v>0</v>
      </c>
      <c r="O252" s="133" t="e">
        <f t="shared" si="97"/>
        <v>#REF!</v>
      </c>
      <c r="P252" s="141">
        <v>44030</v>
      </c>
      <c r="Q252" s="142"/>
      <c r="R252" s="142"/>
      <c r="S252" s="349"/>
      <c r="U252" s="36" t="s">
        <v>294</v>
      </c>
      <c r="V252" s="16" t="s">
        <v>104</v>
      </c>
      <c r="Y252" s="147" t="s">
        <v>284</v>
      </c>
    </row>
    <row r="253" spans="1:25" hidden="1">
      <c r="A253" s="143" t="e">
        <f>+Purchases!#REF!</f>
        <v>#REF!</v>
      </c>
      <c r="B253" s="131"/>
      <c r="C253" s="132">
        <f>IF(ISERROR(+Purchases!#REF!),0, +Purchases!#REF!)</f>
        <v>0</v>
      </c>
      <c r="D253" s="133" t="s">
        <v>108</v>
      </c>
      <c r="E253" s="134">
        <f>IF(ISERROR(+Purchases!#REF!),0, +Purchases!#REF!)</f>
        <v>0</v>
      </c>
      <c r="F253" s="130">
        <v>1</v>
      </c>
      <c r="G253" s="135">
        <f t="shared" si="91"/>
        <v>0</v>
      </c>
      <c r="H253" s="136"/>
      <c r="I253" s="137">
        <f t="shared" si="92"/>
        <v>0</v>
      </c>
      <c r="J253" s="138">
        <f t="shared" si="93"/>
        <v>0</v>
      </c>
      <c r="K253" s="130"/>
      <c r="L253" s="136">
        <f t="shared" si="98"/>
        <v>0</v>
      </c>
      <c r="M253" s="139">
        <f t="shared" si="99"/>
        <v>0</v>
      </c>
      <c r="N253" s="140">
        <f t="shared" si="100"/>
        <v>0</v>
      </c>
      <c r="O253" s="133" t="e">
        <f t="shared" si="97"/>
        <v>#REF!</v>
      </c>
      <c r="P253" s="141">
        <v>44030</v>
      </c>
      <c r="Q253" s="142"/>
      <c r="R253" s="142"/>
      <c r="S253" s="349"/>
      <c r="U253" s="36" t="s">
        <v>294</v>
      </c>
      <c r="V253" s="16" t="s">
        <v>104</v>
      </c>
      <c r="Y253" s="147" t="s">
        <v>284</v>
      </c>
    </row>
    <row r="254" spans="1:25" hidden="1">
      <c r="A254" s="143" t="e">
        <f>+Purchases!#REF!</f>
        <v>#REF!</v>
      </c>
      <c r="B254" s="131"/>
      <c r="C254" s="132">
        <f>IF(ISERROR(+Purchases!#REF!),0, +Purchases!#REF!)</f>
        <v>0</v>
      </c>
      <c r="D254" s="133" t="s">
        <v>108</v>
      </c>
      <c r="E254" s="134">
        <f>IF(ISERROR(+Purchases!#REF!),0, +Purchases!#REF!)</f>
        <v>0</v>
      </c>
      <c r="F254" s="130">
        <v>1</v>
      </c>
      <c r="G254" s="135">
        <f t="shared" si="91"/>
        <v>0</v>
      </c>
      <c r="H254" s="136"/>
      <c r="I254" s="137">
        <f t="shared" si="92"/>
        <v>0</v>
      </c>
      <c r="J254" s="138">
        <f t="shared" si="93"/>
        <v>0</v>
      </c>
      <c r="K254" s="130"/>
      <c r="L254" s="136">
        <f t="shared" si="98"/>
        <v>0</v>
      </c>
      <c r="M254" s="139">
        <f t="shared" si="99"/>
        <v>0</v>
      </c>
      <c r="N254" s="140">
        <f t="shared" si="100"/>
        <v>0</v>
      </c>
      <c r="O254" s="133" t="e">
        <f t="shared" si="97"/>
        <v>#REF!</v>
      </c>
      <c r="P254" s="141">
        <v>44030</v>
      </c>
      <c r="Q254" s="142"/>
      <c r="R254" s="142"/>
      <c r="S254" s="349"/>
      <c r="U254" s="36" t="s">
        <v>294</v>
      </c>
      <c r="V254" s="16" t="s">
        <v>104</v>
      </c>
      <c r="Y254" s="147" t="s">
        <v>284</v>
      </c>
    </row>
    <row r="255" spans="1:25" hidden="1">
      <c r="A255" s="143" t="e">
        <f>+Purchases!#REF!</f>
        <v>#REF!</v>
      </c>
      <c r="B255" s="131"/>
      <c r="C255" s="132">
        <f>IF(ISERROR(+Purchases!#REF!),0, +Purchases!#REF!)</f>
        <v>0</v>
      </c>
      <c r="D255" s="133" t="s">
        <v>108</v>
      </c>
      <c r="E255" s="134">
        <f>IF(ISERROR(+Purchases!#REF!),0, +Purchases!#REF!)</f>
        <v>0</v>
      </c>
      <c r="F255" s="130">
        <v>1</v>
      </c>
      <c r="G255" s="135">
        <f t="shared" si="91"/>
        <v>0</v>
      </c>
      <c r="H255" s="136"/>
      <c r="I255" s="137">
        <f t="shared" si="92"/>
        <v>0</v>
      </c>
      <c r="J255" s="138">
        <f t="shared" si="93"/>
        <v>0</v>
      </c>
      <c r="K255" s="130"/>
      <c r="L255" s="136">
        <f t="shared" si="98"/>
        <v>0</v>
      </c>
      <c r="M255" s="139">
        <f t="shared" si="99"/>
        <v>0</v>
      </c>
      <c r="N255" s="140">
        <f t="shared" si="100"/>
        <v>0</v>
      </c>
      <c r="O255" s="133" t="e">
        <f t="shared" si="97"/>
        <v>#REF!</v>
      </c>
      <c r="P255" s="141">
        <v>44030</v>
      </c>
      <c r="Q255" s="142"/>
      <c r="R255" s="142"/>
      <c r="S255" s="349"/>
      <c r="U255" s="36" t="s">
        <v>294</v>
      </c>
      <c r="V255" s="16" t="s">
        <v>104</v>
      </c>
      <c r="Y255" s="147" t="s">
        <v>284</v>
      </c>
    </row>
    <row r="256" spans="1:25" hidden="1">
      <c r="A256" s="143" t="e">
        <f>+Purchases!#REF!</f>
        <v>#REF!</v>
      </c>
      <c r="B256" s="131"/>
      <c r="C256" s="132">
        <f>IF(ISERROR(+Purchases!#REF!),0, +Purchases!#REF!)</f>
        <v>0</v>
      </c>
      <c r="D256" s="133" t="s">
        <v>108</v>
      </c>
      <c r="E256" s="134">
        <f>IF(ISERROR(+Purchases!#REF!),0, +Purchases!#REF!)</f>
        <v>0</v>
      </c>
      <c r="F256" s="130">
        <v>1</v>
      </c>
      <c r="G256" s="135">
        <f t="shared" si="91"/>
        <v>0</v>
      </c>
      <c r="H256" s="136"/>
      <c r="I256" s="137">
        <f t="shared" si="92"/>
        <v>0</v>
      </c>
      <c r="J256" s="138">
        <f t="shared" si="93"/>
        <v>0</v>
      </c>
      <c r="K256" s="130"/>
      <c r="L256" s="136">
        <f t="shared" si="98"/>
        <v>0</v>
      </c>
      <c r="M256" s="139">
        <f t="shared" si="99"/>
        <v>0</v>
      </c>
      <c r="N256" s="140">
        <f t="shared" si="100"/>
        <v>0</v>
      </c>
      <c r="O256" s="133" t="e">
        <f t="shared" si="97"/>
        <v>#REF!</v>
      </c>
      <c r="P256" s="141">
        <v>44030</v>
      </c>
      <c r="Q256" s="142"/>
      <c r="R256" s="142"/>
      <c r="S256" s="349"/>
      <c r="U256" s="36" t="s">
        <v>294</v>
      </c>
      <c r="V256" s="16" t="s">
        <v>104</v>
      </c>
      <c r="Y256" s="147" t="s">
        <v>284</v>
      </c>
    </row>
    <row r="257" spans="1:5" hidden="1">
      <c r="A257" s="16" t="s">
        <v>431</v>
      </c>
    </row>
    <row r="258" spans="1:5" hidden="1">
      <c r="A258" s="736" t="s">
        <v>432</v>
      </c>
      <c r="B258" s="737">
        <f>IF(Pkge!$L$135&gt;=  100, IF($E258 &gt;= 100, IF(Pkge!$L$135 &gt;= $E258, $E258, Pkge!$L$135),0),0)</f>
        <v>0</v>
      </c>
    </row>
    <row r="259" spans="1:5">
      <c r="A259" s="505" t="s">
        <v>433</v>
      </c>
      <c r="B259" s="486" t="s">
        <v>119</v>
      </c>
      <c r="C259" s="506" t="s">
        <v>434</v>
      </c>
      <c r="E259" s="248"/>
    </row>
    <row r="260" spans="1:5">
      <c r="B260" s="378" t="s">
        <v>119</v>
      </c>
      <c r="C260" s="506" t="s">
        <v>435</v>
      </c>
    </row>
    <row r="261" spans="1:5">
      <c r="B261" s="496"/>
      <c r="C261" s="507" t="s">
        <v>436</v>
      </c>
    </row>
    <row r="262" spans="1:5">
      <c r="B262" s="547"/>
      <c r="C262" s="507" t="s">
        <v>437</v>
      </c>
    </row>
  </sheetData>
  <sheetProtection algorithmName="SHA-512" hashValue="c5rRbWibYvBFdpsl2Y/ceUeBMlNoVkgstj3AfV4iElCQjcx/UEDsz4dhlUiq/ap3NaxNWuGpRFSGiB2fc7xmQA==" saltValue="SG7LTIl9rmfjy16WSrpIJQ==" spinCount="100000" sheet="1" objects="1" scenarios="1"/>
  <mergeCells count="4">
    <mergeCell ref="G1:G2"/>
    <mergeCell ref="H1:H2"/>
    <mergeCell ref="J1:J2"/>
    <mergeCell ref="A258:B258"/>
  </mergeCells>
  <phoneticPr fontId="51" type="noConversion"/>
  <pageMargins left="0.7" right="0.7" top="0.75" bottom="0.75" header="0.3" footer="0.3"/>
  <pageSetup orientation="portrait" horizontalDpi="4294967293" verticalDpi="300" r:id="rId1"/>
  <ignoredErrors>
    <ignoredError sqref="I8 I49 J84 O11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a8ea036-3733-4f61-985b-7edf88ffebae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C63E578B36DD4097C5434247302085" ma:contentTypeVersion="10" ma:contentTypeDescription="Create a new document." ma:contentTypeScope="" ma:versionID="59ed883c6cbf022fa5f5fe74c61dcd06">
  <xsd:schema xmlns:xsd="http://www.w3.org/2001/XMLSchema" xmlns:xs="http://www.w3.org/2001/XMLSchema" xmlns:p="http://schemas.microsoft.com/office/2006/metadata/properties" xmlns:ns2="ca8ea036-3733-4f61-985b-7edf88ffebae" targetNamespace="http://schemas.microsoft.com/office/2006/metadata/properties" ma:root="true" ma:fieldsID="ecff96f3b27fb2d4ec15c2c87560a567" ns2:_="">
    <xsd:import namespace="ca8ea036-3733-4f61-985b-7edf88ffeb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8ea036-3733-4f61-985b-7edf88ffeb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bc43322-b630-4bac-8b27-31def233d1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465AC8-66ED-441C-9094-9F676F50FB09}"/>
</file>

<file path=customXml/itemProps2.xml><?xml version="1.0" encoding="utf-8"?>
<ds:datastoreItem xmlns:ds="http://schemas.openxmlformats.org/officeDocument/2006/customXml" ds:itemID="{5EE1483B-6B14-467D-8C97-045F566F8947}"/>
</file>

<file path=customXml/itemProps3.xml><?xml version="1.0" encoding="utf-8"?>
<ds:datastoreItem xmlns:ds="http://schemas.openxmlformats.org/officeDocument/2006/customXml" ds:itemID="{523BB744-B985-4366-B3DC-9BF91B409D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Holovach Consulting Inc.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Terry Holovach</dc:creator>
  <cp:keywords/>
  <dc:description/>
  <cp:lastModifiedBy>Beverley Bell</cp:lastModifiedBy>
  <cp:revision/>
  <dcterms:created xsi:type="dcterms:W3CDTF">2018-12-18T03:59:17Z</dcterms:created>
  <dcterms:modified xsi:type="dcterms:W3CDTF">2024-12-12T22:39:38Z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c76c141-ac86-40e5-abf2-c6f60e474cee_Enabled">
    <vt:lpwstr>true</vt:lpwstr>
  </property>
  <property fmtid="{D5CDD505-2E9C-101B-9397-08002B2CF9AE}" pid="3" name="MSIP_Label_2c76c141-ac86-40e5-abf2-c6f60e474cee_ActionId">
    <vt:lpwstr>c7bbe88d-4a27-4ed3-a482-6c5b21f86a1a</vt:lpwstr>
  </property>
  <property fmtid="{D5CDD505-2E9C-101B-9397-08002B2CF9AE}" pid="4" name="ContentTypeId">
    <vt:lpwstr>0x010100F3C63E578B36DD4097C5434247302085</vt:lpwstr>
  </property>
  <property fmtid="{D5CDD505-2E9C-101B-9397-08002B2CF9AE}" pid="5" name="MSIP_Label_2c76c141-ac86-40e5-abf2-c6f60e474cee_SiteId">
    <vt:lpwstr>fcb2b37b-5da0-466b-9b83-0014b67a7c78</vt:lpwstr>
  </property>
  <property fmtid="{D5CDD505-2E9C-101B-9397-08002B2CF9AE}" pid="6" name="MSIP_Label_2c76c141-ac86-40e5-abf2-c6f60e474cee_SetDate">
    <vt:lpwstr>2024-10-30T16:21:48Z</vt:lpwstr>
  </property>
  <property fmtid="{D5CDD505-2E9C-101B-9397-08002B2CF9AE}" pid="7" name="MSIP_Label_2c76c141-ac86-40e5-abf2-c6f60e474cee_Name">
    <vt:lpwstr>2c76c141-ac86-40e5-abf2-c6f60e474cee</vt:lpwstr>
  </property>
  <property fmtid="{D5CDD505-2E9C-101B-9397-08002B2CF9AE}" pid="8" name="MSIP_Label_2c76c141-ac86-40e5-abf2-c6f60e474cee_ContentBits">
    <vt:lpwstr>2</vt:lpwstr>
  </property>
  <property fmtid="{D5CDD505-2E9C-101B-9397-08002B2CF9AE}" pid="9" name="MSIP_Label_2c76c141-ac86-40e5-abf2-c6f60e474cee_Method">
    <vt:lpwstr>Standard</vt:lpwstr>
  </property>
  <property fmtid="{D5CDD505-2E9C-101B-9397-08002B2CF9AE}" pid="10" name="MediaServiceImageTags">
    <vt:lpwstr/>
  </property>
</Properties>
</file>